
<file path=[Content_Types].xml><?xml version="1.0" encoding="utf-8"?>
<Types xmlns="http://schemas.openxmlformats.org/package/2006/content-types">
  <Default Extension="bin" ContentType="application/vnd.openxmlformats-officedocument.spreadsheetml.printerSettings"/>
  <Override PartName="/xl/charts/chartEx1.xml" ContentType="application/vnd.openxmlformats-officedocument.drawingml.chart+xml"/>
  <Override PartName="/xl/charts/chart2.xml" ContentType="application/vnd.openxmlformats-officedocument.drawingml.chart+xml"/>
  <Override PartName="/xl/charts/chartEx3.xml" ContentType="application/vnd.openxmlformats-officedocument.drawingml.chart+xml"/>
  <Override PartName="/xl/charts/chartEx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Ex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colors4.xml" ContentType="application/vnd.ms-office.chartcolorstyle+xml"/>
  <Override PartName="/xl/charts/style4.xml" ContentType="application/vnd.ms-office.chartstyle+xml"/>
  <Override PartName="/xl/charts/colors3.xml" ContentType="application/vnd.ms-office.chartcolorstyle+xml"/>
  <Override PartName="/xl/charts/style3.xml" ContentType="application/vnd.ms-office.chartstyle+xml"/>
  <Override PartName="/xl/charts/style1.xml" ContentType="application/vnd.ms-office.chartstyle+xml"/>
  <Override PartName="/xl/charts/style2.xml" ContentType="application/vnd.ms-office.chartstyle+xml"/>
  <Override PartName="/xl/charts/colors2.xml" ContentType="application/vnd.ms-office.chartcolorstyle+xml"/>
  <Override PartName="/xl/charts/colors1.xml" ContentType="application/vnd.ms-office.chartcolorstyle+xml"/>
  <Override PartName="/xl/charts/style8.xml" ContentType="application/vnd.ms-office.chartstyle+xml"/>
  <Override PartName="/xl/charts/colors10.xml" ContentType="application/vnd.ms-office.chartcolorstyle+xml"/>
  <Override PartName="/xl/charts/style10.xml" ContentType="application/vnd.ms-office.chartstyle+xml"/>
  <Override PartName="/xl/charts/colors30.xml" ContentType="application/vnd.ms-office.chartcolorstyle+xml"/>
  <Override PartName="/xl/charts/style30.xml" ContentType="application/vnd.ms-office.chartstyle+xml"/>
  <Override PartName="/xl/charts/colors40.xml" ContentType="application/vnd.ms-office.chartcolorstyle+xml"/>
  <Override PartName="/xl/charts/style40.xml" ContentType="application/vnd.ms-office.chartstyle+xml"/>
  <Override PartName="/xl/charts/colors8.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040" windowHeight="9408" tabRatio="798" activeTab="0"/>
  </bookViews>
  <sheets>
    <sheet name="Assumptions &amp; Instructions" sheetId="8" r:id="rId1"/>
    <sheet name="Inputs-Separate" sheetId="2" r:id="rId2"/>
    <sheet name="frequency dropdown options" sheetId="4" state="hidden" r:id="rId3"/>
    <sheet name="Inputs-Consolidated" sheetId="11" r:id="rId4"/>
    <sheet name="Inputs-Buy Pork" sheetId="12" r:id="rId5"/>
    <sheet name="Inputs-Buy Beef" sheetId="13" r:id="rId6"/>
    <sheet name="Pro Forma Income-Meatballs" sheetId="1" r:id="rId7"/>
    <sheet name="COGS" sheetId="9" r:id="rId8"/>
    <sheet name="Breakeven" sheetId="3" r:id="rId9"/>
    <sheet name="Sensitivity" sheetId="7" r:id="rId10"/>
    <sheet name="Pro Forma Income- All Meats" sheetId="10" r:id="rId11"/>
  </sheets>
  <definedNames>
    <definedName name="_xlchart.v2.0" hidden="1">'COGS'!$A$17:$A$34</definedName>
    <definedName name="_xlchart.v2.1" hidden="1">'COGS'!$C$17:$C$34</definedName>
    <definedName name="_xlchart.v2.2" hidden="1">'COGS'!$A$17:$A$34</definedName>
    <definedName name="_xlchart.v2.3" hidden="1">'COGS'!$E$17:$E$34</definedName>
    <definedName name="_xlchart.v2.4" hidden="1">'COGS'!$A$17:$A$34</definedName>
    <definedName name="_xlchart.v2.5" hidden="1">'COGS'!$G$17:$G$34</definedName>
    <definedName name="_xlchart.v2.6" hidden="1">'COGS'!$A$17:$A$34</definedName>
    <definedName name="_xlchart.v2.7" hidden="1">'COGS'!$I$17:$I$34</definedName>
    <definedName name="Frequency">'frequency dropdown options'!$A$1:$A$4</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<sst xmlns="http://schemas.openxmlformats.org/spreadsheetml/2006/main" count="675" uniqueCount="182">
  <si>
    <t>Net Sales</t>
  </si>
  <si>
    <t>REVENUE</t>
  </si>
  <si>
    <t>COST OF SALES</t>
  </si>
  <si>
    <t>Total Cost of Goods Sold</t>
  </si>
  <si>
    <t>Gross Profit (Loss)</t>
  </si>
  <si>
    <t>OPERATING EXPENSES</t>
  </si>
  <si>
    <t>Selling</t>
  </si>
  <si>
    <t>Total Selling Expenses</t>
  </si>
  <si>
    <t>General/Administrative</t>
  </si>
  <si>
    <t>Total General/Administrative Expenses</t>
  </si>
  <si>
    <t>Total Operating Expenses</t>
  </si>
  <si>
    <t>Extraordinary gain or loss</t>
  </si>
  <si>
    <t>Income tax on extraordinary gain</t>
  </si>
  <si>
    <t>NET INCOME (LOSS)</t>
  </si>
  <si>
    <t>Pro Forma Income Statement</t>
  </si>
  <si>
    <t>Working Landscapes, Project Meatball</t>
  </si>
  <si>
    <t>Number of ounces of ground beef to be used per meatball</t>
  </si>
  <si>
    <t>Total meatball size in ounces</t>
  </si>
  <si>
    <t>REVENUE INPUTS</t>
  </si>
  <si>
    <t>SELLING EXPENSE INPUTS</t>
  </si>
  <si>
    <t>How many employees?</t>
  </si>
  <si>
    <t>Tax rate</t>
  </si>
  <si>
    <t>Extraordinary gain/loss</t>
  </si>
  <si>
    <t>Total number of meatballs available</t>
  </si>
  <si>
    <t>GENERAL/ADMIN INPUTS</t>
  </si>
  <si>
    <t>Additional rent attributed to this project</t>
  </si>
  <si>
    <t>Additional utilities attributed to this project</t>
  </si>
  <si>
    <t>Additional management salary/wage attributed to this project</t>
  </si>
  <si>
    <t>Additional payroll taxes attributed to this project</t>
  </si>
  <si>
    <t>OTHER INPUTS</t>
  </si>
  <si>
    <t>Daily</t>
  </si>
  <si>
    <t>Weekly</t>
  </si>
  <si>
    <t>Monthly</t>
  </si>
  <si>
    <t>Annually</t>
  </si>
  <si>
    <t>q</t>
  </si>
  <si>
    <t>Advertising expenses</t>
  </si>
  <si>
    <t>Other costs</t>
  </si>
  <si>
    <t>At what hourly rate?</t>
  </si>
  <si>
    <t>COST OF GOODS SOLD INPUTS</t>
  </si>
  <si>
    <t xml:space="preserve">Packaging </t>
  </si>
  <si>
    <t>Other</t>
  </si>
  <si>
    <t>lbs</t>
  </si>
  <si>
    <t>Number of meatballs yielded per cow</t>
  </si>
  <si>
    <t>Breakeven</t>
  </si>
  <si>
    <t>Meatballs</t>
  </si>
  <si>
    <t>Packages</t>
  </si>
  <si>
    <t>Dollar Amount</t>
  </si>
  <si>
    <t>Make</t>
  </si>
  <si>
    <t>CALCULATED: VARIABLE COSTS/CM</t>
  </si>
  <si>
    <t>Variable costs per meatball</t>
  </si>
  <si>
    <t>Per cow</t>
  </si>
  <si>
    <t>Per meatball</t>
  </si>
  <si>
    <t>Spice distributor cost per how many pounds?</t>
  </si>
  <si>
    <t>HOG INPUTS</t>
  </si>
  <si>
    <t>COW INPUTS</t>
  </si>
  <si>
    <t>Number of hogs purchased</t>
  </si>
  <si>
    <t>Packaging cost for one package</t>
  </si>
  <si>
    <t>CALCULATED: MEATBALL YIELD</t>
  </si>
  <si>
    <t>Number of ounces of pork to be used per meatball</t>
  </si>
  <si>
    <t>Number of meatballs yielded per hog</t>
  </si>
  <si>
    <t>Per hog</t>
  </si>
  <si>
    <t>Number of hogs needed per cow</t>
  </si>
  <si>
    <t>Number of meatballs in package #1</t>
  </si>
  <si>
    <t>Price of meatball package #1</t>
  </si>
  <si>
    <t>Number of meatballs in package #2</t>
  </si>
  <si>
    <t>Price of meatball package #2</t>
  </si>
  <si>
    <t>Number of meatballs in package #3</t>
  </si>
  <si>
    <t>Price of meatball package #3</t>
  </si>
  <si>
    <t>Percent of sales allocated to package #1</t>
  </si>
  <si>
    <t>Percent of sales allocated to package #2</t>
  </si>
  <si>
    <t>Percent of sales allocated to package #3</t>
  </si>
  <si>
    <t>Total percent of meatballs expected to go unsold</t>
  </si>
  <si>
    <t xml:space="preserve">Number of ounces per pound </t>
  </si>
  <si>
    <t>Added cost to create meatball mix per how many pounds</t>
  </si>
  <si>
    <t>Ingredients (milk, eggs, parsley, etc) per how many meatballs?</t>
  </si>
  <si>
    <t>Other costs per how many meatballs?</t>
  </si>
  <si>
    <t>meatballs</t>
  </si>
  <si>
    <t>Retail value of the other cow products</t>
  </si>
  <si>
    <t>Retail value of the meatball/pork</t>
  </si>
  <si>
    <t>Retail value of the other hog products</t>
  </si>
  <si>
    <t xml:space="preserve">Total number of meatball packages available </t>
  </si>
  <si>
    <t>Pounds of ground beef from one cow</t>
  </si>
  <si>
    <t>Packaging cost</t>
  </si>
  <si>
    <t>Variable costs per package 1</t>
  </si>
  <si>
    <t>Variable costs per package 2</t>
  </si>
  <si>
    <t>Variable costs per package 3</t>
  </si>
  <si>
    <t>Contribution margin package 1</t>
  </si>
  <si>
    <t>Contribution margin package 2</t>
  </si>
  <si>
    <t>Contribution margin package 3</t>
  </si>
  <si>
    <t>Cost of butchering/processing one cow</t>
  </si>
  <si>
    <t>Number of meatball packages available-package 1</t>
  </si>
  <si>
    <t>Number of meatball packages available-package 2</t>
  </si>
  <si>
    <t>Number of meatball packages available-package 3</t>
  </si>
  <si>
    <t>Pork</t>
  </si>
  <si>
    <t>Pounds of ground pork from one hog</t>
  </si>
  <si>
    <t>Packaging</t>
  </si>
  <si>
    <t>Meatball fillers</t>
  </si>
  <si>
    <t>Wages</t>
  </si>
  <si>
    <t>Advertising</t>
  </si>
  <si>
    <t>Depreciation</t>
  </si>
  <si>
    <t>Transportation</t>
  </si>
  <si>
    <t>Payroll taxes</t>
  </si>
  <si>
    <t>Utilities</t>
  </si>
  <si>
    <t>Cost</t>
  </si>
  <si>
    <t>Spend</t>
  </si>
  <si>
    <t>Percent of Revenues</t>
  </si>
  <si>
    <t>Number of cows purchased annually</t>
  </si>
  <si>
    <t>Cost of butchering/processing one hog</t>
  </si>
  <si>
    <t>1. We are buying enough hogs to match the number of meatballs available according to the cow volumes</t>
  </si>
  <si>
    <t>Percent of Meatballs Unsold</t>
  </si>
  <si>
    <t>Ounces of spice per meatball</t>
  </si>
  <si>
    <t>Assumptions</t>
  </si>
  <si>
    <t>Instructions</t>
  </si>
  <si>
    <t xml:space="preserve">    *Note: All values in columns F through H will automatically calculate for you</t>
  </si>
  <si>
    <t>Per package</t>
  </si>
  <si>
    <t>Ground beef</t>
  </si>
  <si>
    <t>Hours needed</t>
  </si>
  <si>
    <t>3. The number of hours needed is dependent on how many cows are purchased and therefore, how much meat is needed to be made into meatballs as well as the number meatballs produced per hour</t>
  </si>
  <si>
    <t>Additional depreciation</t>
  </si>
  <si>
    <t>Cost of transportation (meatball related only)</t>
  </si>
  <si>
    <t>CALCULATED: BREAKEVEN INPUTS</t>
  </si>
  <si>
    <t>Weighted average contribution margin</t>
  </si>
  <si>
    <t>Weighted average meatball volume</t>
  </si>
  <si>
    <t>Weighted average sales price</t>
  </si>
  <si>
    <t>Other selling</t>
  </si>
  <si>
    <t>Other cogs</t>
  </si>
  <si>
    <t>Working Landscapes, All Cow &amp; Hog Meats</t>
  </si>
  <si>
    <t>Cow transportation</t>
  </si>
  <si>
    <t>Hog transportation</t>
  </si>
  <si>
    <t>Cost per hog</t>
  </si>
  <si>
    <t>Cost per cow</t>
  </si>
  <si>
    <t xml:space="preserve">Transportation for one trip </t>
  </si>
  <si>
    <t>Cost per pound of ground pork</t>
  </si>
  <si>
    <t>4. There will never be more than one cow sent on a truck</t>
  </si>
  <si>
    <t>For Different Livestock Options</t>
  </si>
  <si>
    <t>COGS</t>
  </si>
  <si>
    <t>Waterfall</t>
  </si>
  <si>
    <t>Consolidated</t>
  </si>
  <si>
    <t>Separate</t>
  </si>
  <si>
    <t>Transportation of livestock</t>
  </si>
  <si>
    <t>Sensitivity Analysis</t>
  </si>
  <si>
    <t>Summary Table</t>
  </si>
  <si>
    <t>Percent Unsold</t>
  </si>
  <si>
    <t xml:space="preserve">In order to </t>
  </si>
  <si>
    <t>For Different Livestock Options-Inclusive of Prime Cuts</t>
  </si>
  <si>
    <t>Additional equipment maintenance attributed to this project</t>
  </si>
  <si>
    <t>What percent of cow prime cuts do you expect to be unsold?</t>
  </si>
  <si>
    <t>What percent of hog prime cuts do you expect to be unsold?</t>
  </si>
  <si>
    <t>2. For items that have an arrow in column D, please note that column c provides drop down options</t>
  </si>
  <si>
    <t>1. Fill in all inputs in columns A through C on the Inputs-Separate tab</t>
  </si>
  <si>
    <t xml:space="preserve">    *Note: All values will automatically copy into the other two input tabs except those that are colored in blue in each tab</t>
  </si>
  <si>
    <t>Retail value of the ground beef</t>
  </si>
  <si>
    <t>How many meatballs can be made in one hour by the number of employees in B43?</t>
  </si>
  <si>
    <t>How many meatballs can be made in one hour by the number of employees in B42?</t>
  </si>
  <si>
    <t>Buy Pork</t>
  </si>
  <si>
    <t xml:space="preserve">Consolidated </t>
  </si>
  <si>
    <t>Gross sales</t>
  </si>
  <si>
    <t>Other meatball components</t>
  </si>
  <si>
    <t>Net income before taxes</t>
  </si>
  <si>
    <t>Net income after taxes</t>
  </si>
  <si>
    <t>Salaries and wages</t>
  </si>
  <si>
    <t>Net income (loss)</t>
  </si>
  <si>
    <t>3. Percent of sales allocated to packages 1, 2, and 3 must sum to 100%</t>
  </si>
  <si>
    <t>4. Note that there are 3 different pork procurement scenarios</t>
  </si>
  <si>
    <t>2. We are able to sell prime cuts of both hogs and cows (for meatballs only pro forma)</t>
  </si>
  <si>
    <t>5. After you complete the input tabs, the rest of the tabs will automatically populate</t>
  </si>
  <si>
    <t>6. In the breakeven and sensitivity analyses, you may change the percent of meatballs unsold or profit amounts by simply typing the amount you wish over the existing one</t>
  </si>
  <si>
    <t>How many meatballs can be made in one hour by the number of employees in B39?</t>
  </si>
  <si>
    <t>Ingredients (milk, eggs, parsley, etc.) per how many meatballs?</t>
  </si>
  <si>
    <t>lbs.</t>
  </si>
  <si>
    <t>Number of hogs purchased annually</t>
  </si>
  <si>
    <t>Retail value of the ground pork</t>
  </si>
  <si>
    <t>Number of ounces of ground pork to be used per meatball</t>
  </si>
  <si>
    <t>Pounds of ground pork from one cow</t>
  </si>
  <si>
    <t>Number of ounces of beef to be used per meatball</t>
  </si>
  <si>
    <t>Cost per pound of ground beef</t>
  </si>
  <si>
    <t>Number of cows needed per hog</t>
  </si>
  <si>
    <t>Number of cows purchased</t>
  </si>
  <si>
    <t>Buy Beef</t>
  </si>
  <si>
    <t>How many hogs are you transporting on one truck?</t>
  </si>
  <si>
    <t>Cows (Hog for Buy Beef Scenario)</t>
  </si>
  <si>
    <t>How many meatballs can be made in one hour by the number of employees in B40?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</si>
</sst>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0.000000"/>
    <numFmt numFmtId="168" formatCode="0.000"/>
  </numFmts>
  <fonts count="14">
    <font>
      <sz val="11"/>
      <color theme="1"/>
      <name val="Calibri"/>
      <family val="2"/>
      <scheme val="minor"/>
    </font>
    <font>
      <sz val="10"/>
      <name val="Arial"/>
      <family val="2"/>
    </font>
    <font>
      <b/>
      <sz val="11"/>
      <color rgb="FF3F3F3F"/>
      <name val="Calibri"/>
      <family val="2"/>
      <scheme val="minor"/>
    </font>
    <font>
      <sz val="7"/>
      <color theme="0" tint="-0.1499900072813034"/>
      <name val="Wingdings 3"/>
      <family val="1"/>
    </font>
    <font>
      <sz val="14"/>
      <color theme="1"/>
      <name val="Calibri"/>
      <family val="2"/>
      <scheme val="minor"/>
    </font>
    <font>
      <sz val="11"/>
      <color rgb="FF9C6500"/>
      <name val="Calibri"/>
      <family val="2"/>
      <scheme val="minor"/>
    </font>
    <font>
      <sz val="11"/>
      <name val="Calibri"/>
      <family val="2"/>
      <scheme val="minor"/>
    </font>
    <font>
      <sz val="11"/>
      <color rgb="FF3F3F3F"/>
      <name val="Calibri"/>
      <family val="2"/>
      <scheme val="minor"/>
    </font>
    <font>
      <b/>
      <sz val="11"/>
      <color theme="1"/>
      <name val="Calibri"/>
      <family val="2"/>
      <scheme val="minor"/>
    </font>
    <font>
      <sz val="9"/>
      <color theme="1" tint="0.35"/>
      <name val="+mn-cs"/>
      <family val="2"/>
    </font>
    <font>
      <sz val="24"/>
      <color theme="1" tint="0.35"/>
      <name val="Calibri"/>
      <family val="2"/>
    </font>
    <font>
      <b/>
      <sz val="18"/>
      <name val="Calibri"/>
      <family val="2"/>
    </font>
    <font>
      <sz val="14"/>
      <color theme="1" tint="0.35"/>
      <name val="Calibri"/>
      <family val="2"/>
    </font>
    <font>
      <sz val="9"/>
      <color theme="1" tint="0.35"/>
      <name val="Calibri"/>
      <family val="2"/>
    </font>
  </fonts>
  <fills count="11">
    <fill>
      <patternFill/>
    </fill>
    <fill>
      <patternFill patternType="gray125"/>
    </fill>
    <fill>
      <patternFill patternType="solid">
        <fgColor rgb="FFF2F2F2"/>
        <bgColor indexed="64"/>
      </patternFill>
    </fill>
    <fill>
      <patternFill patternType="solid">
        <fgColor rgb="FFFFEB9C"/>
        <bgColor indexed="64"/>
      </patternFill>
    </fill>
    <fill>
      <patternFill patternType="solid">
        <fgColor theme="0" tint="-0.04997999966144562"/>
        <bgColor indexed="64"/>
      </patternFill>
    </fill>
    <fill>
      <patternFill patternType="solid">
        <fgColor theme="0"/>
        <bgColor indexed="64"/>
      </patternFill>
    </fill>
    <fill>
      <patternFill patternType="solid">
        <fgColor theme="8" tint="0.39998000860214233"/>
        <bgColor indexed="64"/>
      </patternFill>
    </fill>
    <fill>
      <patternFill patternType="solid">
        <fgColor theme="9" tint="0.7999799847602844"/>
        <bgColor indexed="64"/>
      </patternFill>
    </fill>
    <fill>
      <patternFill patternType="solid">
        <fgColor theme="5" tint="0.7999799847602844"/>
        <bgColor indexed="64"/>
      </patternFill>
    </fill>
    <fill>
      <patternFill patternType="solid">
        <fgColor theme="8" tint="0.5999900102615356"/>
        <bgColor indexed="64"/>
      </patternFill>
    </fill>
    <fill>
      <patternFill patternType="solid">
        <fgColor rgb="FFCEF0FA"/>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bottom style="medium"/>
    </border>
    <border>
      <left/>
      <right/>
      <top/>
      <bottom style="double"/>
    </border>
    <border>
      <left style="thin"/>
      <right/>
      <top style="thin"/>
      <bottom/>
    </border>
    <border>
      <left/>
      <right style="thin">
        <color theme="0" tint="-0.1499900072813034"/>
      </right>
      <top style="thin">
        <color theme="0" tint="-0.1499900072813034"/>
      </top>
      <bottom style="thin">
        <color theme="0" tint="-0.1499900072813034"/>
      </bottom>
    </border>
    <border>
      <left style="thin"/>
      <right/>
      <top/>
      <bottom/>
    </border>
    <border>
      <left style="thin"/>
      <right style="thin"/>
      <top style="thin"/>
      <bottom style="medium"/>
    </border>
    <border>
      <left style="medium"/>
      <right style="thin"/>
      <top style="thin"/>
      <bottom style="medium"/>
    </border>
    <border>
      <left style="medium"/>
      <right style="thin"/>
      <top style="thin"/>
      <bottom style="thin"/>
    </border>
    <border>
      <left style="medium"/>
      <right/>
      <top/>
      <bottom/>
    </border>
    <border>
      <left/>
      <right style="medium"/>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thin"/>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border>
    <border>
      <left style="medium"/>
      <right style="thin"/>
      <top/>
      <bottom style="thin"/>
    </border>
    <border>
      <left style="thin"/>
      <right style="thin"/>
      <top/>
      <bottom style="thin"/>
    </border>
    <border>
      <left style="thin"/>
      <right/>
      <top style="thin"/>
      <bottom style="medium"/>
    </border>
    <border>
      <left style="thin"/>
      <right/>
      <top style="medium"/>
      <bottom style="thin"/>
    </border>
    <border>
      <left/>
      <right/>
      <top style="thin"/>
      <bottom/>
    </border>
    <border>
      <left/>
      <right/>
      <top style="thin"/>
      <bottom style="thin"/>
    </border>
    <border>
      <left style="thin"/>
      <right style="thin"/>
      <top style="medium"/>
      <bottom style="thin"/>
    </border>
    <border>
      <left style="thin"/>
      <right style="medium"/>
      <top/>
      <bottom style="thin"/>
    </border>
    <border>
      <left/>
      <right style="medium"/>
      <top style="medium"/>
      <bottom style="medium"/>
    </border>
    <border>
      <left style="thin"/>
      <right/>
      <top/>
      <bottom style="thin"/>
    </border>
    <border>
      <left style="medium"/>
      <right/>
      <top style="medium"/>
      <bottom style="thin"/>
    </border>
    <border>
      <left style="medium"/>
      <right/>
      <top style="thin"/>
      <bottom style="thin"/>
    </border>
    <border>
      <left style="medium"/>
      <right/>
      <top style="thin"/>
      <bottom style="medium"/>
    </border>
    <border>
      <left/>
      <right style="thin"/>
      <top style="thin"/>
      <bottom style="thin"/>
    </border>
    <border>
      <left style="thin"/>
      <right/>
      <top style="medium"/>
      <bottom/>
    </border>
    <border>
      <left/>
      <right/>
      <top style="medium"/>
      <bottom/>
    </border>
    <border>
      <left style="medium"/>
      <right/>
      <top style="medium"/>
      <bottom style="mediu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2" borderId="1" applyNumberFormat="0" applyAlignment="0" applyProtection="0"/>
    <xf numFmtId="0" fontId="5" fillId="3" borderId="0" applyNumberFormat="0" applyBorder="0" applyAlignment="0" applyProtection="0"/>
  </cellStyleXfs>
  <cellXfs count="249">
    <xf numFmtId="0" fontId="0" fillId="0" borderId="0" xfId="0"/>
    <xf numFmtId="0" fontId="0" fillId="0" borderId="0" xfId="0" applyBorder="1"/>
    <xf numFmtId="0" fontId="2" fillId="2" borderId="0" xfId="20" applyBorder="1"/>
    <xf numFmtId="0" fontId="0" fillId="0" borderId="2" xfId="0" applyBorder="1"/>
    <xf numFmtId="0" fontId="0" fillId="0" borderId="2" xfId="0" applyFill="1" applyBorder="1"/>
    <xf numFmtId="9" fontId="0" fillId="0" borderId="2" xfId="15" applyFont="1" applyBorder="1"/>
    <xf numFmtId="0" fontId="0" fillId="0" borderId="3" xfId="0" applyBorder="1"/>
    <xf numFmtId="0" fontId="0" fillId="0" borderId="4" xfId="0" applyBorder="1"/>
    <xf numFmtId="0" fontId="2" fillId="2" borderId="4" xfId="20" applyBorder="1"/>
    <xf numFmtId="0" fontId="2" fillId="2" borderId="5" xfId="20" applyBorder="1"/>
    <xf numFmtId="0" fontId="0" fillId="0" borderId="0" xfId="0" applyFill="1" applyBorder="1"/>
    <xf numFmtId="0" fontId="0" fillId="0" borderId="0" xfId="0" applyProtection="1">
      <protection locked="0"/>
    </xf>
    <xf numFmtId="43" fontId="0" fillId="0" borderId="0" xfId="0" applyNumberFormat="1"/>
    <xf numFmtId="0" fontId="0" fillId="0" borderId="6" xfId="0" applyBorder="1"/>
    <xf numFmtId="164" fontId="0" fillId="0" borderId="2" xfId="18" applyNumberFormat="1" applyFont="1" applyBorder="1"/>
    <xf numFmtId="0" fontId="3" fillId="4" borderId="7" xfId="0" applyFont="1" applyFill="1" applyBorder="1" applyAlignment="1">
      <alignment horizontal="center"/>
    </xf>
    <xf numFmtId="0" fontId="0" fillId="0" borderId="8" xfId="0" applyBorder="1"/>
    <xf numFmtId="0" fontId="6" fillId="0" borderId="2" xfId="21" applyFont="1" applyFill="1" applyBorder="1"/>
    <xf numFmtId="0" fontId="5" fillId="0" borderId="2" xfId="21" applyFill="1" applyBorder="1"/>
    <xf numFmtId="0" fontId="6" fillId="0" borderId="0" xfId="21" applyFont="1" applyFill="1"/>
    <xf numFmtId="0" fontId="0" fillId="0" borderId="2" xfId="0" applyFont="1" applyFill="1" applyBorder="1" applyAlignment="1">
      <alignment horizontal="center"/>
    </xf>
    <xf numFmtId="0" fontId="0" fillId="0" borderId="2" xfId="0" applyFont="1" applyFill="1" applyBorder="1" applyAlignment="1">
      <alignment horizontal="left"/>
    </xf>
    <xf numFmtId="0" fontId="0" fillId="0" borderId="2" xfId="0" applyFont="1" applyFill="1" applyBorder="1" applyAlignment="1">
      <alignment horizontal="right"/>
    </xf>
    <xf numFmtId="2" fontId="0" fillId="0" borderId="2" xfId="0" applyNumberFormat="1" applyBorder="1"/>
    <xf numFmtId="2" fontId="6" fillId="0" borderId="2" xfId="21" applyNumberFormat="1" applyFont="1" applyFill="1" applyBorder="1"/>
    <xf numFmtId="2" fontId="0" fillId="0" borderId="2" xfId="0" applyNumberFormat="1" applyFill="1" applyBorder="1"/>
    <xf numFmtId="167" fontId="0" fillId="0" borderId="0" xfId="0" applyNumberFormat="1"/>
    <xf numFmtId="0" fontId="6" fillId="2" borderId="0" xfId="20" applyFont="1" applyBorder="1"/>
    <xf numFmtId="168" fontId="0" fillId="0" borderId="2" xfId="0" applyNumberFormat="1" applyFill="1" applyBorder="1"/>
    <xf numFmtId="2" fontId="0" fillId="0" borderId="0" xfId="0" applyNumberFormat="1" applyBorder="1"/>
    <xf numFmtId="164" fontId="0" fillId="0" borderId="2" xfId="0" applyNumberFormat="1" applyBorder="1"/>
    <xf numFmtId="164" fontId="6" fillId="0" borderId="2" xfId="21" applyNumberFormat="1" applyFont="1" applyFill="1" applyBorder="1"/>
    <xf numFmtId="2" fontId="0" fillId="0" borderId="0" xfId="0" applyNumberFormat="1"/>
    <xf numFmtId="165" fontId="0" fillId="0" borderId="2" xfId="16" applyNumberFormat="1" applyFont="1" applyBorder="1"/>
    <xf numFmtId="43" fontId="0" fillId="0" borderId="0" xfId="0" applyNumberFormat="1" applyBorder="1"/>
    <xf numFmtId="0" fontId="0" fillId="0" borderId="2" xfId="15" applyNumberFormat="1" applyFont="1" applyBorder="1"/>
    <xf numFmtId="0" fontId="0" fillId="5" borderId="2" xfId="0" applyFill="1" applyBorder="1"/>
    <xf numFmtId="0" fontId="0" fillId="5" borderId="0" xfId="0" applyFill="1" applyAlignment="1">
      <alignment horizontal="center"/>
    </xf>
    <xf numFmtId="166" fontId="0" fillId="0" borderId="9" xfId="0" applyNumberFormat="1" applyBorder="1" applyAlignment="1">
      <alignment horizontal="left"/>
    </xf>
    <xf numFmtId="164" fontId="0" fillId="0" borderId="9" xfId="18" applyNumberFormat="1" applyFont="1" applyBorder="1"/>
    <xf numFmtId="165" fontId="0" fillId="0" borderId="9" xfId="16" applyNumberFormat="1" applyFont="1" applyBorder="1"/>
    <xf numFmtId="0" fontId="0" fillId="0" borderId="2" xfId="15" applyNumberFormat="1" applyFont="1" applyFill="1" applyBorder="1"/>
    <xf numFmtId="0" fontId="6" fillId="6" borderId="2" xfId="21" applyFont="1" applyFill="1" applyBorder="1"/>
    <xf numFmtId="9" fontId="2" fillId="2" borderId="2" xfId="20" applyNumberFormat="1" applyBorder="1"/>
    <xf numFmtId="166" fontId="0" fillId="7" borderId="10" xfId="0" applyNumberFormat="1" applyFill="1" applyBorder="1" applyAlignment="1">
      <alignment horizontal="left"/>
    </xf>
    <xf numFmtId="164" fontId="0" fillId="7" borderId="11" xfId="18" applyNumberFormat="1" applyFont="1" applyFill="1" applyBorder="1"/>
    <xf numFmtId="164" fontId="0" fillId="7" borderId="10" xfId="18" applyNumberFormat="1" applyFont="1" applyFill="1" applyBorder="1"/>
    <xf numFmtId="165" fontId="0" fillId="7" borderId="11" xfId="16" applyNumberFormat="1" applyFont="1" applyFill="1" applyBorder="1"/>
    <xf numFmtId="165" fontId="0" fillId="7" borderId="10" xfId="16" applyNumberFormat="1" applyFont="1" applyFill="1" applyBorder="1"/>
    <xf numFmtId="0" fontId="8" fillId="0" borderId="0" xfId="0" applyFont="1"/>
    <xf numFmtId="0" fontId="0" fillId="0" borderId="12" xfId="0" applyBorder="1"/>
    <xf numFmtId="0" fontId="0" fillId="0" borderId="13" xfId="0" applyBorder="1"/>
    <xf numFmtId="9" fontId="0" fillId="0" borderId="14" xfId="15" applyFont="1" applyBorder="1"/>
    <xf numFmtId="9" fontId="0" fillId="7" borderId="14" xfId="15" applyFont="1" applyFill="1" applyBorder="1"/>
    <xf numFmtId="9" fontId="0" fillId="7" borderId="15" xfId="15" applyFont="1" applyFill="1" applyBorder="1"/>
    <xf numFmtId="0" fontId="0" fillId="7" borderId="16" xfId="0" applyFill="1" applyBorder="1"/>
    <xf numFmtId="9" fontId="0" fillId="0" borderId="15" xfId="15" applyFont="1" applyBorder="1"/>
    <xf numFmtId="0" fontId="0" fillId="0" borderId="17" xfId="0" applyFill="1" applyBorder="1"/>
    <xf numFmtId="0" fontId="0" fillId="0" borderId="16" xfId="0" applyFill="1" applyBorder="1"/>
    <xf numFmtId="0" fontId="0" fillId="8" borderId="17" xfId="0" applyFill="1" applyBorder="1"/>
    <xf numFmtId="0" fontId="0" fillId="0" borderId="18" xfId="0" applyBorder="1"/>
    <xf numFmtId="0" fontId="8" fillId="9" borderId="19" xfId="0" applyFont="1" applyFill="1" applyBorder="1"/>
    <xf numFmtId="0" fontId="0" fillId="0" borderId="20" xfId="0" applyBorder="1"/>
    <xf numFmtId="0" fontId="0" fillId="0" borderId="21" xfId="0" applyBorder="1"/>
    <xf numFmtId="9" fontId="2" fillId="7" borderId="11" xfId="20" applyNumberFormat="1" applyFill="1" applyBorder="1"/>
    <xf numFmtId="9" fontId="0" fillId="0" borderId="11" xfId="0" applyNumberFormat="1" applyBorder="1"/>
    <xf numFmtId="9" fontId="0" fillId="0" borderId="10" xfId="0" applyNumberFormat="1" applyBorder="1"/>
    <xf numFmtId="0" fontId="0" fillId="6" borderId="2" xfId="0" applyFill="1" applyBorder="1" applyAlignment="1">
      <alignment horizontal="center"/>
    </xf>
    <xf numFmtId="9" fontId="0" fillId="6" borderId="2" xfId="15" applyFont="1" applyFill="1" applyBorder="1"/>
    <xf numFmtId="0" fontId="2" fillId="7" borderId="0" xfId="20" applyFill="1" applyBorder="1" applyAlignment="1">
      <alignment horizontal="center"/>
    </xf>
    <xf numFmtId="0" fontId="2" fillId="2" borderId="0" xfId="20" applyBorder="1" applyAlignment="1">
      <alignment horizontal="center"/>
    </xf>
    <xf numFmtId="0" fontId="2" fillId="8" borderId="0" xfId="20" applyFill="1" applyBorder="1" applyAlignment="1">
      <alignment horizontal="center"/>
    </xf>
    <xf numFmtId="9" fontId="2" fillId="7" borderId="11" xfId="20" applyNumberFormat="1" applyFill="1" applyBorder="1" applyAlignment="1">
      <alignment horizontal="center"/>
    </xf>
    <xf numFmtId="9" fontId="2" fillId="2" borderId="2" xfId="20" applyNumberFormat="1" applyBorder="1" applyAlignment="1">
      <alignment horizontal="center"/>
    </xf>
    <xf numFmtId="0" fontId="6" fillId="0" borderId="0" xfId="20" applyFont="1" applyFill="1" applyBorder="1"/>
    <xf numFmtId="0" fontId="6" fillId="0" borderId="20" xfId="20" applyFont="1" applyFill="1" applyBorder="1"/>
    <xf numFmtId="0" fontId="0" fillId="0" borderId="2" xfId="0" applyBorder="1" applyAlignment="1">
      <alignment wrapText="1"/>
    </xf>
    <xf numFmtId="0" fontId="0" fillId="0" borderId="2" xfId="0" applyBorder="1" applyAlignment="1" quotePrefix="1">
      <alignment wrapText="1"/>
    </xf>
    <xf numFmtId="0" fontId="0" fillId="0" borderId="22" xfId="0" applyBorder="1" applyAlignment="1">
      <alignment wrapText="1"/>
    </xf>
    <xf numFmtId="0" fontId="0" fillId="0" borderId="0" xfId="0" applyFill="1" applyBorder="1" applyAlignment="1">
      <alignment wrapText="1"/>
    </xf>
    <xf numFmtId="0" fontId="0" fillId="7" borderId="11" xfId="0" applyFill="1" applyBorder="1" applyAlignment="1">
      <alignment horizontal="left"/>
    </xf>
    <xf numFmtId="0" fontId="0" fillId="7" borderId="14" xfId="0" applyFill="1" applyBorder="1" applyAlignment="1">
      <alignment horizontal="left"/>
    </xf>
    <xf numFmtId="0" fontId="0" fillId="0" borderId="11" xfId="0" applyBorder="1" applyAlignment="1">
      <alignment horizontal="left"/>
    </xf>
    <xf numFmtId="0" fontId="0" fillId="0" borderId="14" xfId="0" applyBorder="1" applyAlignment="1">
      <alignment horizontal="left"/>
    </xf>
    <xf numFmtId="0" fontId="0" fillId="8" borderId="11" xfId="0" applyFill="1" applyBorder="1" applyAlignment="1">
      <alignment horizontal="left"/>
    </xf>
    <xf numFmtId="164" fontId="0" fillId="7" borderId="11" xfId="0" applyNumberFormat="1" applyFill="1" applyBorder="1"/>
    <xf numFmtId="164" fontId="0" fillId="7" borderId="10" xfId="0" applyNumberFormat="1" applyFill="1" applyBorder="1"/>
    <xf numFmtId="164" fontId="0" fillId="0" borderId="12" xfId="0" applyNumberFormat="1" applyBorder="1"/>
    <xf numFmtId="164" fontId="0" fillId="7" borderId="17" xfId="0" applyNumberFormat="1" applyFill="1" applyBorder="1"/>
    <xf numFmtId="164" fontId="0" fillId="0" borderId="11" xfId="0" applyNumberFormat="1" applyBorder="1"/>
    <xf numFmtId="164" fontId="0" fillId="0" borderId="10" xfId="0" applyNumberFormat="1" applyBorder="1"/>
    <xf numFmtId="164" fontId="0" fillId="8" borderId="11" xfId="0" applyNumberFormat="1" applyFill="1" applyBorder="1"/>
    <xf numFmtId="164" fontId="0" fillId="8" borderId="10" xfId="0" applyNumberFormat="1" applyFill="1" applyBorder="1"/>
    <xf numFmtId="164" fontId="0" fillId="7" borderId="14" xfId="0" applyNumberFormat="1" applyFill="1" applyBorder="1"/>
    <xf numFmtId="164" fontId="0" fillId="0" borderId="14" xfId="0" applyNumberFormat="1" applyBorder="1"/>
    <xf numFmtId="164" fontId="0" fillId="7" borderId="15" xfId="0" applyNumberFormat="1" applyFill="1" applyBorder="1"/>
    <xf numFmtId="164" fontId="0" fillId="0" borderId="15" xfId="0" applyNumberFormat="1" applyBorder="1"/>
    <xf numFmtId="164" fontId="0" fillId="0" borderId="0" xfId="18" applyNumberFormat="1" applyFont="1" applyBorder="1"/>
    <xf numFmtId="164" fontId="0" fillId="0" borderId="0" xfId="18" applyNumberFormat="1" applyFont="1" applyBorder="1" applyAlignment="1">
      <alignment/>
    </xf>
    <xf numFmtId="164" fontId="0" fillId="0" borderId="4" xfId="18" applyNumberFormat="1" applyFont="1" applyBorder="1"/>
    <xf numFmtId="164" fontId="2" fillId="2" borderId="0" xfId="18" applyNumberFormat="1" applyFont="1" applyFill="1" applyBorder="1"/>
    <xf numFmtId="164" fontId="6" fillId="0" borderId="0" xfId="18" applyNumberFormat="1" applyFont="1" applyFill="1" applyBorder="1"/>
    <xf numFmtId="164" fontId="0" fillId="0" borderId="0" xfId="18" applyNumberFormat="1" applyFont="1" applyFill="1" applyBorder="1"/>
    <xf numFmtId="164" fontId="0" fillId="0" borderId="4" xfId="18" applyNumberFormat="1" applyFont="1" applyFill="1" applyBorder="1"/>
    <xf numFmtId="164" fontId="2" fillId="2" borderId="4" xfId="18" applyNumberFormat="1" applyFont="1" applyFill="1" applyBorder="1"/>
    <xf numFmtId="164" fontId="2" fillId="2" borderId="5" xfId="18" applyNumberFormat="1" applyFont="1" applyFill="1" applyBorder="1"/>
    <xf numFmtId="164" fontId="2" fillId="7" borderId="23" xfId="18" applyNumberFormat="1" applyFont="1" applyFill="1" applyBorder="1"/>
    <xf numFmtId="164" fontId="2" fillId="2" borderId="24" xfId="18" applyNumberFormat="1" applyFont="1" applyFill="1" applyBorder="1"/>
    <xf numFmtId="164" fontId="2" fillId="7" borderId="11" xfId="18" applyNumberFormat="1" applyFont="1" applyFill="1" applyBorder="1"/>
    <xf numFmtId="164" fontId="2" fillId="2" borderId="2" xfId="18" applyNumberFormat="1" applyFont="1" applyFill="1" applyBorder="1"/>
    <xf numFmtId="164" fontId="6" fillId="7" borderId="11" xfId="18" applyNumberFormat="1" applyFont="1" applyFill="1" applyBorder="1"/>
    <xf numFmtId="164" fontId="6" fillId="2" borderId="2" xfId="18" applyNumberFormat="1" applyFont="1" applyFill="1" applyBorder="1"/>
    <xf numFmtId="164" fontId="0" fillId="0" borderId="2" xfId="18" applyNumberFormat="1" applyFont="1" applyFill="1" applyBorder="1"/>
    <xf numFmtId="164" fontId="2" fillId="7" borderId="10" xfId="18" applyNumberFormat="1" applyFont="1" applyFill="1" applyBorder="1"/>
    <xf numFmtId="164" fontId="2" fillId="2" borderId="9" xfId="18" applyNumberFormat="1" applyFont="1" applyFill="1" applyBorder="1"/>
    <xf numFmtId="164" fontId="0" fillId="7" borderId="23" xfId="18" applyNumberFormat="1" applyFont="1" applyFill="1" applyBorder="1"/>
    <xf numFmtId="164" fontId="0" fillId="0" borderId="24" xfId="18" applyNumberFormat="1" applyFont="1" applyBorder="1"/>
    <xf numFmtId="164" fontId="0" fillId="7" borderId="2" xfId="0" applyNumberFormat="1" applyFill="1" applyBorder="1"/>
    <xf numFmtId="164" fontId="0" fillId="7" borderId="9" xfId="0" applyNumberFormat="1" applyFill="1" applyBorder="1"/>
    <xf numFmtId="164" fontId="0" fillId="0" borderId="9" xfId="0" applyNumberFormat="1" applyBorder="1"/>
    <xf numFmtId="164" fontId="0" fillId="0" borderId="0" xfId="18" applyNumberFormat="1" applyFont="1"/>
    <xf numFmtId="164" fontId="6" fillId="2" borderId="0" xfId="18" applyNumberFormat="1" applyFont="1" applyFill="1" applyBorder="1"/>
    <xf numFmtId="164" fontId="0" fillId="0" borderId="0" xfId="0" applyNumberFormat="1"/>
    <xf numFmtId="164" fontId="7" fillId="0" borderId="0" xfId="20" applyNumberFormat="1" applyFont="1" applyFill="1" applyBorder="1"/>
    <xf numFmtId="164" fontId="0" fillId="5" borderId="0" xfId="18" applyNumberFormat="1" applyFont="1" applyFill="1" applyBorder="1"/>
    <xf numFmtId="0" fontId="2" fillId="10" borderId="0" xfId="20" applyFill="1" applyBorder="1" applyAlignment="1">
      <alignment horizontal="center"/>
    </xf>
    <xf numFmtId="0" fontId="0" fillId="8" borderId="3" xfId="0" applyFill="1" applyBorder="1" applyAlignment="1">
      <alignment horizontal="left"/>
    </xf>
    <xf numFmtId="9" fontId="0" fillId="8" borderId="3" xfId="15" applyFont="1" applyFill="1" applyBorder="1"/>
    <xf numFmtId="9" fontId="0" fillId="8" borderId="25" xfId="15" applyFont="1" applyFill="1" applyBorder="1"/>
    <xf numFmtId="0" fontId="0" fillId="8" borderId="26" xfId="0" applyFill="1" applyBorder="1"/>
    <xf numFmtId="164" fontId="0" fillId="8" borderId="3" xfId="0" applyNumberFormat="1" applyFill="1" applyBorder="1"/>
    <xf numFmtId="164" fontId="0" fillId="8" borderId="25" xfId="0" applyNumberFormat="1" applyFill="1" applyBorder="1"/>
    <xf numFmtId="0" fontId="0" fillId="10" borderId="11" xfId="0" applyFill="1" applyBorder="1" applyAlignment="1">
      <alignment horizontal="left"/>
    </xf>
    <xf numFmtId="0" fontId="0" fillId="10" borderId="14" xfId="0" applyFill="1" applyBorder="1" applyAlignment="1">
      <alignment horizontal="left"/>
    </xf>
    <xf numFmtId="9" fontId="0" fillId="10" borderId="14" xfId="15" applyFont="1" applyFill="1" applyBorder="1"/>
    <xf numFmtId="9" fontId="0" fillId="10" borderId="15" xfId="15" applyFont="1" applyFill="1" applyBorder="1"/>
    <xf numFmtId="0" fontId="0" fillId="10" borderId="17" xfId="0" applyFill="1" applyBorder="1"/>
    <xf numFmtId="0" fontId="0" fillId="10" borderId="16" xfId="0" applyFill="1" applyBorder="1"/>
    <xf numFmtId="164" fontId="0" fillId="10" borderId="11" xfId="0" applyNumberFormat="1" applyFill="1" applyBorder="1"/>
    <xf numFmtId="164" fontId="0" fillId="10" borderId="14" xfId="0" applyNumberFormat="1" applyFill="1" applyBorder="1"/>
    <xf numFmtId="164" fontId="0" fillId="10" borderId="10" xfId="0" applyNumberFormat="1" applyFill="1" applyBorder="1"/>
    <xf numFmtId="164" fontId="0" fillId="10" borderId="15" xfId="0" applyNumberFormat="1" applyFill="1" applyBorder="1"/>
    <xf numFmtId="164" fontId="0" fillId="10" borderId="11" xfId="18" applyNumberFormat="1" applyFont="1" applyFill="1" applyBorder="1"/>
    <xf numFmtId="164" fontId="0" fillId="10" borderId="10" xfId="18" applyNumberFormat="1" applyFont="1" applyFill="1" applyBorder="1"/>
    <xf numFmtId="0" fontId="0" fillId="0" borderId="0" xfId="0" applyFill="1" applyAlignment="1">
      <alignment/>
    </xf>
    <xf numFmtId="165" fontId="0" fillId="0" borderId="27" xfId="16" applyNumberFormat="1" applyFont="1" applyBorder="1"/>
    <xf numFmtId="165" fontId="0" fillId="0" borderId="28" xfId="16" applyNumberFormat="1" applyFont="1" applyBorder="1"/>
    <xf numFmtId="165" fontId="0" fillId="0" borderId="4" xfId="16" applyNumberFormat="1" applyFont="1" applyBorder="1"/>
    <xf numFmtId="166" fontId="0" fillId="0" borderId="2" xfId="0" applyNumberFormat="1" applyBorder="1" applyAlignment="1">
      <alignment horizontal="left"/>
    </xf>
    <xf numFmtId="166" fontId="0" fillId="8" borderId="2" xfId="0" applyNumberFormat="1" applyFill="1" applyBorder="1" applyAlignment="1">
      <alignment horizontal="left"/>
    </xf>
    <xf numFmtId="166" fontId="0" fillId="7" borderId="11" xfId="0" applyNumberFormat="1" applyFill="1" applyBorder="1" applyAlignment="1">
      <alignment horizontal="left"/>
    </xf>
    <xf numFmtId="166" fontId="0" fillId="8" borderId="9" xfId="0" applyNumberFormat="1" applyFill="1" applyBorder="1" applyAlignment="1">
      <alignment horizontal="left"/>
    </xf>
    <xf numFmtId="166" fontId="0" fillId="10" borderId="3" xfId="0" applyNumberFormat="1" applyFill="1" applyBorder="1" applyAlignment="1">
      <alignment horizontal="left"/>
    </xf>
    <xf numFmtId="166" fontId="0" fillId="10" borderId="25" xfId="0" applyNumberFormat="1" applyFill="1" applyBorder="1" applyAlignment="1">
      <alignment horizontal="left"/>
    </xf>
    <xf numFmtId="164" fontId="0" fillId="8" borderId="2" xfId="18" applyNumberFormat="1" applyFont="1" applyFill="1" applyBorder="1"/>
    <xf numFmtId="164" fontId="0" fillId="8" borderId="9" xfId="18" applyNumberFormat="1" applyFont="1" applyFill="1" applyBorder="1"/>
    <xf numFmtId="164" fontId="0" fillId="10" borderId="15" xfId="18" applyNumberFormat="1" applyFont="1" applyFill="1" applyBorder="1"/>
    <xf numFmtId="164" fontId="0" fillId="10" borderId="3" xfId="18" applyNumberFormat="1" applyFont="1" applyFill="1" applyBorder="1"/>
    <xf numFmtId="164" fontId="0" fillId="10" borderId="25" xfId="18" applyNumberFormat="1" applyFont="1" applyFill="1" applyBorder="1"/>
    <xf numFmtId="0" fontId="0" fillId="7" borderId="17" xfId="0" applyFill="1" applyBorder="1" applyAlignment="1">
      <alignment horizontal="center"/>
    </xf>
    <xf numFmtId="0" fontId="0" fillId="0" borderId="29" xfId="0" applyBorder="1" applyAlignment="1">
      <alignment horizontal="center"/>
    </xf>
    <xf numFmtId="0" fontId="0" fillId="8" borderId="29" xfId="0" applyFill="1" applyBorder="1" applyAlignment="1">
      <alignment horizontal="center"/>
    </xf>
    <xf numFmtId="0" fontId="0" fillId="10" borderId="26" xfId="0" applyFill="1" applyBorder="1" applyAlignment="1">
      <alignment horizontal="center"/>
    </xf>
    <xf numFmtId="165" fontId="0" fillId="8" borderId="2" xfId="16" applyNumberFormat="1" applyFont="1" applyFill="1" applyBorder="1"/>
    <xf numFmtId="165" fontId="0" fillId="8" borderId="9" xfId="16" applyNumberFormat="1" applyFont="1" applyFill="1" applyBorder="1"/>
    <xf numFmtId="0" fontId="0" fillId="7" borderId="23" xfId="0" applyFill="1" applyBorder="1" applyAlignment="1">
      <alignment horizontal="center"/>
    </xf>
    <xf numFmtId="0" fontId="0" fillId="0" borderId="24" xfId="0" applyBorder="1" applyAlignment="1">
      <alignment horizontal="center"/>
    </xf>
    <xf numFmtId="0" fontId="0" fillId="8" borderId="24" xfId="0" applyFill="1" applyBorder="1" applyAlignment="1">
      <alignment horizontal="center"/>
    </xf>
    <xf numFmtId="0" fontId="0" fillId="10" borderId="30" xfId="0" applyFill="1" applyBorder="1"/>
    <xf numFmtId="0" fontId="0" fillId="6" borderId="31" xfId="0" applyFill="1" applyBorder="1"/>
    <xf numFmtId="0" fontId="0" fillId="10" borderId="32" xfId="0" applyFill="1" applyBorder="1" applyAlignment="1">
      <alignment horizontal="center"/>
    </xf>
    <xf numFmtId="165" fontId="0" fillId="10" borderId="14" xfId="16" applyNumberFormat="1" applyFont="1" applyFill="1" applyBorder="1"/>
    <xf numFmtId="165" fontId="0" fillId="10" borderId="15" xfId="16" applyNumberFormat="1" applyFont="1" applyFill="1" applyBorder="1"/>
    <xf numFmtId="0" fontId="0" fillId="0" borderId="0" xfId="0" applyBorder="1" applyAlignment="1">
      <alignment horizontal="center"/>
    </xf>
    <xf numFmtId="0" fontId="0" fillId="10" borderId="0" xfId="0" applyFill="1"/>
    <xf numFmtId="0" fontId="0" fillId="6" borderId="2" xfId="0" applyFill="1" applyBorder="1"/>
    <xf numFmtId="164" fontId="6" fillId="2" borderId="0" xfId="20" applyNumberFormat="1" applyFont="1" applyBorder="1"/>
    <xf numFmtId="0" fontId="2" fillId="2" borderId="33" xfId="20" applyBorder="1"/>
    <xf numFmtId="0" fontId="2" fillId="2" borderId="34" xfId="20" applyBorder="1"/>
    <xf numFmtId="0" fontId="0" fillId="0" borderId="34" xfId="0" applyBorder="1"/>
    <xf numFmtId="9" fontId="2" fillId="8" borderId="2" xfId="20" applyNumberFormat="1" applyFill="1" applyBorder="1" applyAlignment="1">
      <alignment horizontal="center"/>
    </xf>
    <xf numFmtId="43" fontId="0" fillId="0" borderId="2" xfId="18" applyFont="1" applyBorder="1"/>
    <xf numFmtId="9" fontId="2" fillId="8" borderId="2" xfId="20" applyNumberFormat="1" applyFill="1" applyBorder="1"/>
    <xf numFmtId="9" fontId="2" fillId="10" borderId="14" xfId="20" applyNumberFormat="1" applyFill="1" applyBorder="1" applyAlignment="1">
      <alignment horizontal="center"/>
    </xf>
    <xf numFmtId="9" fontId="2" fillId="10" borderId="14" xfId="20" applyNumberFormat="1" applyFill="1" applyBorder="1"/>
    <xf numFmtId="164" fontId="0" fillId="10" borderId="14" xfId="18" applyNumberFormat="1" applyFont="1" applyFill="1" applyBorder="1"/>
    <xf numFmtId="164" fontId="2" fillId="8" borderId="2" xfId="18" applyNumberFormat="1" applyFont="1" applyFill="1" applyBorder="1"/>
    <xf numFmtId="164" fontId="6" fillId="8" borderId="2" xfId="18" applyNumberFormat="1" applyFont="1" applyFill="1" applyBorder="1"/>
    <xf numFmtId="164" fontId="2" fillId="8" borderId="24" xfId="18" applyNumberFormat="1" applyFont="1" applyFill="1" applyBorder="1"/>
    <xf numFmtId="164" fontId="2" fillId="8" borderId="9" xfId="18" applyNumberFormat="1" applyFont="1" applyFill="1" applyBorder="1"/>
    <xf numFmtId="0" fontId="2" fillId="2" borderId="35" xfId="20" applyBorder="1"/>
    <xf numFmtId="164" fontId="2" fillId="10" borderId="14" xfId="18" applyNumberFormat="1" applyFont="1" applyFill="1" applyBorder="1"/>
    <xf numFmtId="164" fontId="6" fillId="10" borderId="14" xfId="18" applyNumberFormat="1" applyFont="1" applyFill="1" applyBorder="1"/>
    <xf numFmtId="164" fontId="2" fillId="10" borderId="15" xfId="18" applyNumberFormat="1" applyFont="1" applyFill="1" applyBorder="1"/>
    <xf numFmtId="164" fontId="0" fillId="8" borderId="24" xfId="18" applyNumberFormat="1" applyFont="1" applyFill="1" applyBorder="1"/>
    <xf numFmtId="164" fontId="0" fillId="10" borderId="30" xfId="18" applyNumberFormat="1" applyFont="1" applyFill="1" applyBorder="1"/>
    <xf numFmtId="164" fontId="2" fillId="10" borderId="30" xfId="18" applyNumberFormat="1" applyFont="1" applyFill="1" applyBorder="1"/>
    <xf numFmtId="164" fontId="2" fillId="0" borderId="24" xfId="18" applyNumberFormat="1" applyFont="1" applyFill="1" applyBorder="1"/>
    <xf numFmtId="164" fontId="0" fillId="8" borderId="2" xfId="0" applyNumberFormat="1" applyFill="1" applyBorder="1"/>
    <xf numFmtId="164" fontId="0" fillId="8" borderId="9" xfId="0" applyNumberFormat="1" applyFill="1" applyBorder="1"/>
    <xf numFmtId="0" fontId="0" fillId="0" borderId="17" xfId="0" applyBorder="1" applyAlignment="1">
      <alignment horizontal="center"/>
    </xf>
    <xf numFmtId="0" fontId="8" fillId="7" borderId="29" xfId="0" applyFont="1" applyFill="1" applyBorder="1" applyAlignment="1">
      <alignment horizontal="center"/>
    </xf>
    <xf numFmtId="0" fontId="8" fillId="0" borderId="29" xfId="0" applyFont="1" applyBorder="1" applyAlignment="1">
      <alignment horizontal="center"/>
    </xf>
    <xf numFmtId="9" fontId="2" fillId="8" borderId="29" xfId="20" applyNumberFormat="1" applyFill="1" applyBorder="1" applyAlignment="1">
      <alignment horizontal="center"/>
    </xf>
    <xf numFmtId="0" fontId="0" fillId="10" borderId="16" xfId="0" applyFill="1" applyBorder="1" applyAlignment="1">
      <alignment horizontal="center"/>
    </xf>
    <xf numFmtId="0" fontId="0" fillId="6" borderId="3" xfId="0" applyFont="1" applyFill="1" applyBorder="1" applyAlignment="1">
      <alignment horizontal="center"/>
    </xf>
    <xf numFmtId="0" fontId="0" fillId="6" borderId="28" xfId="0" applyFont="1" applyFill="1" applyBorder="1" applyAlignment="1">
      <alignment horizontal="center"/>
    </xf>
    <xf numFmtId="0" fontId="0" fillId="6" borderId="36" xfId="0" applyFont="1" applyFill="1" applyBorder="1" applyAlignment="1">
      <alignment horizontal="center"/>
    </xf>
    <xf numFmtId="0" fontId="0" fillId="6" borderId="2" xfId="0" applyFont="1" applyFill="1" applyBorder="1" applyAlignment="1">
      <alignment horizontal="center"/>
    </xf>
    <xf numFmtId="0" fontId="0" fillId="6" borderId="2" xfId="0" applyFill="1" applyBorder="1" applyAlignment="1">
      <alignment horizontal="center"/>
    </xf>
    <xf numFmtId="0" fontId="0" fillId="6" borderId="3" xfId="0" applyFill="1" applyBorder="1" applyAlignment="1">
      <alignment horizontal="center"/>
    </xf>
    <xf numFmtId="0" fontId="0" fillId="6" borderId="28" xfId="0" applyFill="1" applyBorder="1" applyAlignment="1">
      <alignment horizontal="center"/>
    </xf>
    <xf numFmtId="0" fontId="0" fillId="6" borderId="36" xfId="0" applyFill="1" applyBorder="1" applyAlignment="1">
      <alignment horizontal="center"/>
    </xf>
    <xf numFmtId="0" fontId="4" fillId="6" borderId="0" xfId="0" applyFont="1" applyFill="1" applyBorder="1" applyAlignment="1">
      <alignment horizontal="center"/>
    </xf>
    <xf numFmtId="0" fontId="0" fillId="6" borderId="0" xfId="0" applyFill="1" applyBorder="1" applyAlignment="1">
      <alignment horizontal="center"/>
    </xf>
    <xf numFmtId="0" fontId="0" fillId="0" borderId="0" xfId="0" applyBorder="1" applyAlignment="1">
      <alignment horizontal="center"/>
    </xf>
    <xf numFmtId="0" fontId="0" fillId="10" borderId="0" xfId="0" applyFill="1" applyAlignment="1">
      <alignment horizontal="center"/>
    </xf>
    <xf numFmtId="0" fontId="8" fillId="8" borderId="0" xfId="0" applyFont="1" applyFill="1" applyAlignment="1">
      <alignment horizontal="center"/>
    </xf>
    <xf numFmtId="0" fontId="8" fillId="7" borderId="17" xfId="0" applyFont="1" applyFill="1" applyBorder="1" applyAlignment="1">
      <alignment horizontal="center"/>
    </xf>
    <xf numFmtId="0" fontId="8" fillId="7" borderId="16" xfId="0" applyFont="1" applyFill="1" applyBorder="1" applyAlignment="1">
      <alignment horizontal="center"/>
    </xf>
    <xf numFmtId="0" fontId="8" fillId="0" borderId="17" xfId="0" applyFont="1" applyFill="1" applyBorder="1" applyAlignment="1">
      <alignment horizontal="center"/>
    </xf>
    <xf numFmtId="0" fontId="8" fillId="0" borderId="16" xfId="0" applyFont="1" applyFill="1" applyBorder="1" applyAlignment="1">
      <alignment horizontal="center"/>
    </xf>
    <xf numFmtId="0" fontId="8" fillId="8" borderId="17" xfId="0" applyFont="1" applyFill="1" applyBorder="1" applyAlignment="1">
      <alignment horizontal="center"/>
    </xf>
    <xf numFmtId="0" fontId="8" fillId="8" borderId="26" xfId="0" applyFont="1" applyFill="1" applyBorder="1" applyAlignment="1">
      <alignment horizontal="center"/>
    </xf>
    <xf numFmtId="0" fontId="8" fillId="7" borderId="0" xfId="0" applyFont="1" applyFill="1" applyAlignment="1">
      <alignment horizontal="center"/>
    </xf>
    <xf numFmtId="0" fontId="8" fillId="0" borderId="0" xfId="0" applyFont="1" applyAlignment="1">
      <alignment horizontal="center"/>
    </xf>
    <xf numFmtId="0" fontId="8" fillId="10" borderId="17" xfId="0" applyFont="1" applyFill="1" applyBorder="1" applyAlignment="1">
      <alignment horizontal="center"/>
    </xf>
    <xf numFmtId="0" fontId="8" fillId="10" borderId="16" xfId="0" applyFont="1" applyFill="1" applyBorder="1" applyAlignment="1">
      <alignment horizontal="center"/>
    </xf>
    <xf numFmtId="0" fontId="8" fillId="6" borderId="0" xfId="0" applyFont="1" applyFill="1" applyAlignment="1">
      <alignment horizontal="center"/>
    </xf>
    <xf numFmtId="0" fontId="8" fillId="6" borderId="17" xfId="0" applyFont="1" applyFill="1" applyBorder="1" applyAlignment="1">
      <alignment horizontal="center" vertical="center" textRotation="90"/>
    </xf>
    <xf numFmtId="0" fontId="8" fillId="6" borderId="11" xfId="0" applyFont="1" applyFill="1" applyBorder="1" applyAlignment="1">
      <alignment horizontal="center" vertical="center" textRotation="90"/>
    </xf>
    <xf numFmtId="0" fontId="8" fillId="6" borderId="10" xfId="0" applyFont="1" applyFill="1" applyBorder="1" applyAlignment="1">
      <alignment horizontal="center" vertical="center" textRotation="90"/>
    </xf>
    <xf numFmtId="0" fontId="8" fillId="0" borderId="37" xfId="0" applyFont="1" applyBorder="1" applyAlignment="1">
      <alignment horizontal="left"/>
    </xf>
    <xf numFmtId="0" fontId="8" fillId="0" borderId="38" xfId="0" applyFont="1" applyBorder="1" applyAlignment="1">
      <alignment horizontal="left"/>
    </xf>
    <xf numFmtId="0" fontId="8" fillId="6" borderId="39" xfId="0" applyFont="1" applyFill="1" applyBorder="1" applyAlignment="1">
      <alignment horizontal="center"/>
    </xf>
    <xf numFmtId="0" fontId="8" fillId="6" borderId="40" xfId="0" applyFont="1" applyFill="1" applyBorder="1" applyAlignment="1">
      <alignment horizontal="center"/>
    </xf>
    <xf numFmtId="0" fontId="8" fillId="6" borderId="31" xfId="0" applyFont="1" applyFill="1" applyBorder="1" applyAlignment="1">
      <alignment horizontal="center"/>
    </xf>
    <xf numFmtId="0" fontId="8" fillId="6" borderId="41" xfId="0" applyFont="1" applyFill="1" applyBorder="1" applyAlignment="1">
      <alignment horizontal="center"/>
    </xf>
    <xf numFmtId="0" fontId="8" fillId="6" borderId="42" xfId="0" applyFont="1" applyFill="1" applyBorder="1" applyAlignment="1">
      <alignment horizontal="center"/>
    </xf>
    <xf numFmtId="0" fontId="8" fillId="6" borderId="43" xfId="0" applyFont="1" applyFill="1" applyBorder="1" applyAlignment="1">
      <alignment horizontal="center"/>
    </xf>
    <xf numFmtId="0" fontId="8" fillId="6" borderId="44" xfId="0" applyFont="1" applyFill="1" applyBorder="1" applyAlignment="1">
      <alignment horizontal="center"/>
    </xf>
    <xf numFmtId="0" fontId="8" fillId="6" borderId="38" xfId="0" applyFont="1" applyFill="1" applyBorder="1" applyAlignment="1">
      <alignment horizontal="center"/>
    </xf>
    <xf numFmtId="0" fontId="0" fillId="6" borderId="39" xfId="0" applyFill="1" applyBorder="1" applyAlignment="1">
      <alignment horizontal="center"/>
    </xf>
    <xf numFmtId="0" fontId="0" fillId="6" borderId="40" xfId="0" applyFill="1" applyBorder="1" applyAlignment="1">
      <alignment horizontal="center"/>
    </xf>
    <xf numFmtId="0" fontId="0" fillId="6" borderId="31" xfId="0" applyFill="1" applyBorder="1" applyAlignment="1">
      <alignment horizontal="center"/>
    </xf>
    <xf numFmtId="0" fontId="4" fillId="6" borderId="8" xfId="0" applyFont="1" applyFill="1" applyBorder="1" applyAlignment="1">
      <alignment horizontal="center"/>
    </xf>
    <xf numFmtId="9" fontId="2" fillId="6" borderId="17" xfId="20" applyNumberFormat="1" applyFont="1" applyFill="1" applyBorder="1" applyAlignment="1">
      <alignment horizontal="center"/>
    </xf>
    <xf numFmtId="9" fontId="2" fillId="6" borderId="29" xfId="20" applyNumberFormat="1" applyFont="1" applyFill="1" applyBorder="1" applyAlignment="1">
      <alignment horizontal="center"/>
    </xf>
    <xf numFmtId="9" fontId="2" fillId="6" borderId="16" xfId="20" applyNumberFormat="1" applyFont="1" applyFill="1" applyBorder="1" applyAlignment="1">
      <alignment horizontal="center"/>
    </xf>
  </cellXfs>
  <cellStyles count="8">
    <cellStyle name="Normal" xfId="0"/>
    <cellStyle name="Percent" xfId="15"/>
    <cellStyle name="Currency" xfId="16"/>
    <cellStyle name="Currency [0]" xfId="17"/>
    <cellStyle name="Comma" xfId="18"/>
    <cellStyle name="Comma [0]" xfId="19"/>
    <cellStyle name="Output" xfId="20"/>
    <cellStyle name="Neutral"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Ex1.xml.rels><?xml version="1.0" encoding="utf-8" standalone="yes"?><Relationships xmlns="http://schemas.openxmlformats.org/package/2006/relationships"><Relationship Id="rId1" Type="http://schemas.microsoft.com/office/2011/relationships/chartStyle" Target="/xl/charts/style1.xml" /><Relationship Id="rId2" Type="http://schemas.microsoft.com/office/2011/relationships/chartColorStyle" Target="/xl/charts/colors1.xml" /></Relationships>
</file>

<file path=xl/charts/_rels/chartEx3.xml.rels><?xml version="1.0" encoding="utf-8" standalone="yes"?><Relationships xmlns="http://schemas.openxmlformats.org/package/2006/relationships"><Relationship Id="rId1" Type="http://schemas.microsoft.com/office/2011/relationships/chartStyle" Target="/xl/charts/style3.xml" /><Relationship Id="rId2" Type="http://schemas.microsoft.com/office/2011/relationships/chartColorStyle" Target="/xl/charts/colors3.xml" /></Relationships>
</file>

<file path=xl/charts/_rels/chartEx4.xml.rels><?xml version="1.0" encoding="utf-8" standalone="yes"?><Relationships xmlns="http://schemas.openxmlformats.org/package/2006/relationships"><Relationship Id="rId1" Type="http://schemas.microsoft.com/office/2011/relationships/chartStyle" Target="/xl/charts/style4.xml" /><Relationship Id="rId2" Type="http://schemas.microsoft.com/office/2011/relationships/chartColorStyle" Target="/xl/charts/colors4.xml" /></Relationships>
</file>

<file path=xl/charts/_rels/chartEx8.xml.rels><?xml version="1.0" encoding="utf-8" standalone="yes"?><Relationships xmlns="http://schemas.openxmlformats.org/package/2006/relationships"><Relationship Id="rId1" Type="http://schemas.microsoft.com/office/2011/relationships/chartStyle" Target="/xl/charts/style8.xml" /><Relationship Id="rId2" Type="http://schemas.microsoft.com/office/2011/relationships/chartColorStyle" Target="/xl/charts/colors8.xml" /></Relationships>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Spend</a:t>
            </a:r>
            <a:r>
              <a:rPr lang="en-US" cap="none" sz="1400" b="0" i="0" u="none" baseline="0">
                <a:solidFill>
                  <a:schemeClr val="tx1">
                    <a:lumMod val="65000"/>
                    <a:lumOff val="35000"/>
                  </a:schemeClr>
                </a:solidFill>
                <a:latin typeface="+mn-lt"/>
                <a:ea typeface="Calibri"/>
                <a:cs typeface="Calibri"/>
              </a:rPr>
              <a:t> as a </a:t>
            </a:r>
            <a:r>
              <a:rPr lang="en-US" cap="none" sz="1400" b="0" i="0" u="none" baseline="0">
                <a:solidFill>
                  <a:schemeClr val="tx1">
                    <a:lumMod val="65000"/>
                    <a:lumOff val="35000"/>
                  </a:schemeClr>
                </a:solidFill>
                <a:latin typeface="+mn-lt"/>
                <a:ea typeface="Calibri"/>
                <a:cs typeface="Calibri"/>
              </a:rPr>
              <a:t>Percentage of Revenues</a:t>
            </a:r>
            <a:r>
              <a:rPr lang="en-US" cap="none" sz="1400" b="0" i="0" u="none" baseline="0">
                <a:solidFill>
                  <a:schemeClr val="tx1">
                    <a:lumMod val="65000"/>
                    <a:lumOff val="35000"/>
                  </a:schemeClr>
                </a:solidFill>
                <a:latin typeface="+mn-lt"/>
                <a:ea typeface="Calibri"/>
                <a:cs typeface="Calibri"/>
              </a:rPr>
              <a:t>
Separate</a:t>
            </a:r>
            <a:r>
              <a:rPr lang="en-US" cap="none" sz="1400" b="0" i="0" u="none" baseline="0">
                <a:solidFill>
                  <a:schemeClr val="tx1">
                    <a:lumMod val="65000"/>
                    <a:lumOff val="35000"/>
                  </a:schemeClr>
                </a:solidFill>
                <a:latin typeface="+mn-lt"/>
                <a:ea typeface="Calibri"/>
                <a:cs typeface="Calibri"/>
              </a:rPr>
              <a:t> Livestock Purchases</a:t>
            </a:r>
          </a:p>
        </c:rich>
      </c:tx>
      <c:layout/>
      <c:overlay val="0"/>
      <c:spPr>
        <a:noFill/>
        <a:ln>
          <a:noFill/>
        </a:ln>
      </c:spPr>
    </c:title>
    <c:plotArea>
      <c:layout/>
      <c:doughnutChart>
        <c:varyColors val="1"/>
        <c:ser>
          <c:idx val="0"/>
          <c:order val="0"/>
          <c:tx>
            <c:strRef>
              <c:f>COGS!$C$2</c:f>
              <c:strCache>
                <c:ptCount val="1"/>
                <c:pt idx="0">
                  <c:v>Percent of Revenues</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Pt>
            <c:idx val="6"/>
            <c:spPr>
              <a:solidFill>
                <a:schemeClr val="accent1">
                  <a:lumMod val="60000"/>
                </a:schemeClr>
              </a:solidFill>
              <a:ln w="19050">
                <a:solidFill>
                  <a:schemeClr val="bg1"/>
                </a:solidFill>
              </a:ln>
            </c:spPr>
          </c:dPt>
          <c:dPt>
            <c:idx val="7"/>
            <c:spPr>
              <a:solidFill>
                <a:schemeClr val="accent2">
                  <a:lumMod val="60000"/>
                </a:schemeClr>
              </a:solidFill>
              <a:ln w="19050">
                <a:solidFill>
                  <a:schemeClr val="bg1"/>
                </a:solidFill>
              </a:ln>
            </c:spPr>
          </c:dPt>
          <c:dPt>
            <c:idx val="8"/>
            <c:spPr>
              <a:solidFill>
                <a:schemeClr val="accent3">
                  <a:lumMod val="60000"/>
                </a:schemeClr>
              </a:solidFill>
              <a:ln w="19050">
                <a:solidFill>
                  <a:schemeClr val="bg1"/>
                </a:solidFill>
              </a:ln>
            </c:spPr>
          </c:dPt>
          <c:dPt>
            <c:idx val="9"/>
            <c:spPr>
              <a:solidFill>
                <a:schemeClr val="accent4">
                  <a:lumMod val="60000"/>
                </a:schemeClr>
              </a:solidFill>
              <a:ln w="19050">
                <a:solidFill>
                  <a:schemeClr val="bg1"/>
                </a:solidFill>
              </a:ln>
            </c:spPr>
          </c:dPt>
          <c:dPt>
            <c:idx val="10"/>
            <c:spPr>
              <a:solidFill>
                <a:schemeClr val="accent5">
                  <a:lumMod val="60000"/>
                </a:schemeClr>
              </a:solidFill>
              <a:ln w="19050">
                <a:solidFill>
                  <a:schemeClr val="bg1"/>
                </a:solidFill>
              </a:ln>
            </c:spPr>
          </c:dPt>
          <c:dPt>
            <c:idx val="11"/>
            <c:spPr>
              <a:solidFill>
                <a:schemeClr val="accent6">
                  <a:lumMod val="60000"/>
                </a:schemeClr>
              </a:solidFill>
              <a:ln w="19050">
                <a:solidFill>
                  <a:schemeClr val="bg1"/>
                </a:solidFill>
              </a:ln>
            </c:spPr>
          </c:dPt>
          <c:dLbls>
            <c:numFmt formatCode="General" sourceLinked="1"/>
            <c:showLegendKey val="0"/>
            <c:showVal val="0"/>
            <c:showBubbleSize val="0"/>
            <c:showCatName val="0"/>
            <c:showSerName val="0"/>
            <c:showLeaderLines val="1"/>
            <c:showPercent val="0"/>
          </c:dLbls>
          <c:cat>
            <c:strRef>
              <c:f>COGS!$A$3:$A$14</c:f>
              <c:strCache/>
            </c:strRef>
          </c:cat>
          <c:val>
            <c:numRef>
              <c:f>COGS!$C$3:$C$14</c:f>
              <c:numCache/>
            </c:numRef>
          </c:val>
        </c:ser>
        <c:holeSize val="75"/>
      </c:doughnutChart>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Spend</a:t>
            </a:r>
            <a:r>
              <a:rPr lang="en-US" cap="none" sz="1400" b="0" i="0" u="none" baseline="0">
                <a:solidFill>
                  <a:schemeClr val="tx1">
                    <a:lumMod val="65000"/>
                    <a:lumOff val="35000"/>
                  </a:schemeClr>
                </a:solidFill>
                <a:latin typeface="+mn-lt"/>
                <a:ea typeface="Calibri"/>
                <a:cs typeface="Calibri"/>
              </a:rPr>
              <a:t> as a </a:t>
            </a:r>
            <a:r>
              <a:rPr lang="en-US" cap="none" sz="1400" b="0" i="0" u="none" baseline="0">
                <a:solidFill>
                  <a:schemeClr val="tx1">
                    <a:lumMod val="65000"/>
                    <a:lumOff val="35000"/>
                  </a:schemeClr>
                </a:solidFill>
                <a:latin typeface="+mn-lt"/>
                <a:ea typeface="Calibri"/>
                <a:cs typeface="Calibri"/>
              </a:rPr>
              <a:t>Percentage of Revenues</a:t>
            </a:r>
            <a:r>
              <a:rPr lang="en-US" cap="none" sz="1400" b="0" i="0" u="none" baseline="0">
                <a:solidFill>
                  <a:schemeClr val="tx1">
                    <a:lumMod val="65000"/>
                    <a:lumOff val="35000"/>
                  </a:schemeClr>
                </a:solidFill>
                <a:latin typeface="+mn-lt"/>
                <a:ea typeface="Calibri"/>
                <a:cs typeface="Calibri"/>
              </a:rPr>
              <a:t>
Consolidated Livestock Purchases</a:t>
            </a:r>
          </a:p>
        </c:rich>
      </c:tx>
      <c:layout/>
      <c:overlay val="0"/>
      <c:spPr>
        <a:noFill/>
        <a:ln>
          <a:noFill/>
        </a:ln>
      </c:spPr>
    </c:title>
    <c:plotArea>
      <c:layout/>
      <c:doughnutChart>
        <c:varyColors val="1"/>
        <c:ser>
          <c:idx val="0"/>
          <c:order val="0"/>
          <c:tx>
            <c:strRef>
              <c:f>COGS!$C$2</c:f>
              <c:strCache>
                <c:ptCount val="1"/>
                <c:pt idx="0">
                  <c:v>Percent of Revenues</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Pt>
            <c:idx val="6"/>
            <c:spPr>
              <a:solidFill>
                <a:schemeClr val="accent1">
                  <a:lumMod val="60000"/>
                </a:schemeClr>
              </a:solidFill>
              <a:ln w="19050">
                <a:solidFill>
                  <a:schemeClr val="bg1"/>
                </a:solidFill>
              </a:ln>
            </c:spPr>
          </c:dPt>
          <c:dPt>
            <c:idx val="7"/>
            <c:spPr>
              <a:solidFill>
                <a:schemeClr val="accent2">
                  <a:lumMod val="60000"/>
                </a:schemeClr>
              </a:solidFill>
              <a:ln w="19050">
                <a:solidFill>
                  <a:schemeClr val="bg1"/>
                </a:solidFill>
              </a:ln>
            </c:spPr>
          </c:dPt>
          <c:dPt>
            <c:idx val="8"/>
            <c:spPr>
              <a:solidFill>
                <a:schemeClr val="accent3">
                  <a:lumMod val="60000"/>
                </a:schemeClr>
              </a:solidFill>
              <a:ln w="19050">
                <a:solidFill>
                  <a:schemeClr val="bg1"/>
                </a:solidFill>
              </a:ln>
            </c:spPr>
          </c:dPt>
          <c:dPt>
            <c:idx val="9"/>
            <c:spPr>
              <a:solidFill>
                <a:schemeClr val="accent4">
                  <a:lumMod val="60000"/>
                </a:schemeClr>
              </a:solidFill>
              <a:ln w="19050">
                <a:solidFill>
                  <a:schemeClr val="bg1"/>
                </a:solidFill>
              </a:ln>
            </c:spPr>
          </c:dPt>
          <c:dPt>
            <c:idx val="10"/>
            <c:spPr>
              <a:solidFill>
                <a:schemeClr val="accent5">
                  <a:lumMod val="60000"/>
                </a:schemeClr>
              </a:solidFill>
              <a:ln w="19050">
                <a:solidFill>
                  <a:schemeClr val="bg1"/>
                </a:solidFill>
              </a:ln>
            </c:spPr>
          </c:dPt>
          <c:dPt>
            <c:idx val="11"/>
            <c:spPr>
              <a:solidFill>
                <a:schemeClr val="accent6">
                  <a:lumMod val="60000"/>
                </a:schemeClr>
              </a:solidFill>
              <a:ln w="19050">
                <a:solidFill>
                  <a:schemeClr val="bg1"/>
                </a:solidFill>
              </a:ln>
            </c:spPr>
          </c:dPt>
          <c:dLbls>
            <c:numFmt formatCode="General" sourceLinked="1"/>
            <c:showLegendKey val="0"/>
            <c:showVal val="0"/>
            <c:showBubbleSize val="0"/>
            <c:showCatName val="0"/>
            <c:showSerName val="0"/>
            <c:showLeaderLines val="1"/>
            <c:showPercent val="0"/>
          </c:dLbls>
          <c:cat>
            <c:strRef>
              <c:f>COGS!$A$3:$A$14</c:f>
              <c:strCache/>
            </c:strRef>
          </c:cat>
          <c:val>
            <c:numRef>
              <c:f>COGS!$E$3:$E$14</c:f>
              <c:numCache/>
            </c:numRef>
          </c:val>
        </c:ser>
        <c:holeSize val="75"/>
      </c:doughnutChart>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Spend</a:t>
            </a:r>
            <a:r>
              <a:rPr lang="en-US" cap="none" sz="1400" b="0" i="0" u="none" baseline="0">
                <a:solidFill>
                  <a:schemeClr val="tx1">
                    <a:lumMod val="65000"/>
                    <a:lumOff val="35000"/>
                  </a:schemeClr>
                </a:solidFill>
                <a:latin typeface="+mn-lt"/>
                <a:ea typeface="Calibri"/>
                <a:cs typeface="Calibri"/>
              </a:rPr>
              <a:t> as a </a:t>
            </a:r>
            <a:r>
              <a:rPr lang="en-US" cap="none" sz="1400" b="0" i="0" u="none" baseline="0">
                <a:solidFill>
                  <a:schemeClr val="tx1">
                    <a:lumMod val="65000"/>
                    <a:lumOff val="35000"/>
                  </a:schemeClr>
                </a:solidFill>
                <a:latin typeface="+mn-lt"/>
                <a:ea typeface="Calibri"/>
                <a:cs typeface="Calibri"/>
              </a:rPr>
              <a:t>Percentage of Revenues</a:t>
            </a:r>
            <a:r>
              <a:rPr lang="en-US" cap="none" sz="1400" b="0" i="0" u="none" baseline="0">
                <a:solidFill>
                  <a:schemeClr val="tx1">
                    <a:lumMod val="65000"/>
                    <a:lumOff val="35000"/>
                  </a:schemeClr>
                </a:solidFill>
                <a:latin typeface="+mn-lt"/>
                <a:ea typeface="Calibri"/>
                <a:cs typeface="Calibri"/>
              </a:rPr>
              <a:t>
Buy Ground Pork</a:t>
            </a:r>
          </a:p>
        </c:rich>
      </c:tx>
      <c:layout/>
      <c:overlay val="0"/>
      <c:spPr>
        <a:noFill/>
        <a:ln>
          <a:noFill/>
        </a:ln>
      </c:spPr>
    </c:title>
    <c:plotArea>
      <c:layout/>
      <c:doughnutChart>
        <c:varyColors val="1"/>
        <c:ser>
          <c:idx val="0"/>
          <c:order val="0"/>
          <c:tx>
            <c:strRef>
              <c:f>COGS!$C$2</c:f>
              <c:strCache>
                <c:ptCount val="1"/>
                <c:pt idx="0">
                  <c:v>Percent of Revenues</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Pt>
            <c:idx val="6"/>
            <c:spPr>
              <a:solidFill>
                <a:schemeClr val="accent1">
                  <a:lumMod val="60000"/>
                </a:schemeClr>
              </a:solidFill>
              <a:ln w="19050">
                <a:solidFill>
                  <a:schemeClr val="bg1"/>
                </a:solidFill>
              </a:ln>
            </c:spPr>
          </c:dPt>
          <c:dPt>
            <c:idx val="7"/>
            <c:spPr>
              <a:solidFill>
                <a:schemeClr val="accent2">
                  <a:lumMod val="60000"/>
                </a:schemeClr>
              </a:solidFill>
              <a:ln w="19050">
                <a:solidFill>
                  <a:schemeClr val="bg1"/>
                </a:solidFill>
              </a:ln>
            </c:spPr>
          </c:dPt>
          <c:dPt>
            <c:idx val="8"/>
            <c:spPr>
              <a:solidFill>
                <a:schemeClr val="accent3">
                  <a:lumMod val="60000"/>
                </a:schemeClr>
              </a:solidFill>
              <a:ln w="19050">
                <a:solidFill>
                  <a:schemeClr val="bg1"/>
                </a:solidFill>
              </a:ln>
            </c:spPr>
          </c:dPt>
          <c:dPt>
            <c:idx val="9"/>
            <c:spPr>
              <a:solidFill>
                <a:schemeClr val="accent4">
                  <a:lumMod val="60000"/>
                </a:schemeClr>
              </a:solidFill>
              <a:ln w="19050">
                <a:solidFill>
                  <a:schemeClr val="bg1"/>
                </a:solidFill>
              </a:ln>
            </c:spPr>
          </c:dPt>
          <c:dPt>
            <c:idx val="10"/>
            <c:spPr>
              <a:solidFill>
                <a:schemeClr val="accent5">
                  <a:lumMod val="60000"/>
                </a:schemeClr>
              </a:solidFill>
              <a:ln w="19050">
                <a:solidFill>
                  <a:schemeClr val="bg1"/>
                </a:solidFill>
              </a:ln>
            </c:spPr>
          </c:dPt>
          <c:dPt>
            <c:idx val="11"/>
            <c:spPr>
              <a:solidFill>
                <a:schemeClr val="accent6">
                  <a:lumMod val="60000"/>
                </a:schemeClr>
              </a:solidFill>
              <a:ln w="19050">
                <a:solidFill>
                  <a:schemeClr val="bg1"/>
                </a:solidFill>
              </a:ln>
            </c:spPr>
          </c:dPt>
          <c:dLbls>
            <c:numFmt formatCode="General" sourceLinked="1"/>
            <c:showLegendKey val="0"/>
            <c:showVal val="0"/>
            <c:showBubbleSize val="0"/>
            <c:showCatName val="0"/>
            <c:showSerName val="0"/>
            <c:showLeaderLines val="1"/>
            <c:showPercent val="0"/>
          </c:dLbls>
          <c:cat>
            <c:strRef>
              <c:f>COGS!$A$3:$A$14</c:f>
              <c:strCache/>
            </c:strRef>
          </c:cat>
          <c:val>
            <c:numRef>
              <c:f>COGS!$G$3:$G$14</c:f>
              <c:numCache/>
            </c:numRef>
          </c:val>
        </c:ser>
        <c:holeSize val="75"/>
      </c:doughnutChart>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Spend</a:t>
            </a:r>
            <a:r>
              <a:rPr lang="en-US" cap="none" sz="1400" b="0" i="0" u="none" baseline="0">
                <a:solidFill>
                  <a:schemeClr val="tx1">
                    <a:lumMod val="65000"/>
                    <a:lumOff val="35000"/>
                  </a:schemeClr>
                </a:solidFill>
                <a:latin typeface="+mn-lt"/>
                <a:ea typeface="Calibri"/>
                <a:cs typeface="Calibri"/>
              </a:rPr>
              <a:t> as a </a:t>
            </a:r>
            <a:r>
              <a:rPr lang="en-US" cap="none" sz="1400" b="0" i="0" u="none" baseline="0">
                <a:solidFill>
                  <a:schemeClr val="tx1">
                    <a:lumMod val="65000"/>
                    <a:lumOff val="35000"/>
                  </a:schemeClr>
                </a:solidFill>
                <a:latin typeface="+mn-lt"/>
                <a:ea typeface="Calibri"/>
                <a:cs typeface="Calibri"/>
              </a:rPr>
              <a:t>Percentage of Revenues</a:t>
            </a:r>
            <a:r>
              <a:rPr lang="en-US" cap="none" sz="1400" b="0" i="0" u="none" baseline="0">
                <a:solidFill>
                  <a:schemeClr val="tx1">
                    <a:lumMod val="65000"/>
                    <a:lumOff val="35000"/>
                  </a:schemeClr>
                </a:solidFill>
                <a:latin typeface="+mn-lt"/>
                <a:ea typeface="Calibri"/>
                <a:cs typeface="Calibri"/>
              </a:rPr>
              <a:t>
Buy Ground Beef</a:t>
            </a:r>
          </a:p>
        </c:rich>
      </c:tx>
      <c:layout/>
      <c:overlay val="0"/>
      <c:spPr>
        <a:noFill/>
        <a:ln>
          <a:noFill/>
        </a:ln>
      </c:spPr>
    </c:title>
    <c:plotArea>
      <c:layout/>
      <c:doughnutChart>
        <c:varyColors val="1"/>
        <c:ser>
          <c:idx val="0"/>
          <c:order val="0"/>
          <c:tx>
            <c:strRef>
              <c:f>COGS!$C$2</c:f>
              <c:strCache>
                <c:ptCount val="1"/>
                <c:pt idx="0">
                  <c:v>Percent of Revenues</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Pt>
            <c:idx val="6"/>
            <c:spPr>
              <a:solidFill>
                <a:schemeClr val="accent1">
                  <a:lumMod val="60000"/>
                </a:schemeClr>
              </a:solidFill>
              <a:ln w="19050">
                <a:solidFill>
                  <a:schemeClr val="bg1"/>
                </a:solidFill>
              </a:ln>
            </c:spPr>
          </c:dPt>
          <c:dPt>
            <c:idx val="7"/>
            <c:spPr>
              <a:solidFill>
                <a:schemeClr val="accent2">
                  <a:lumMod val="60000"/>
                </a:schemeClr>
              </a:solidFill>
              <a:ln w="19050">
                <a:solidFill>
                  <a:schemeClr val="bg1"/>
                </a:solidFill>
              </a:ln>
            </c:spPr>
          </c:dPt>
          <c:dPt>
            <c:idx val="8"/>
            <c:spPr>
              <a:solidFill>
                <a:schemeClr val="accent3">
                  <a:lumMod val="60000"/>
                </a:schemeClr>
              </a:solidFill>
              <a:ln w="19050">
                <a:solidFill>
                  <a:schemeClr val="bg1"/>
                </a:solidFill>
              </a:ln>
            </c:spPr>
          </c:dPt>
          <c:dPt>
            <c:idx val="9"/>
            <c:spPr>
              <a:solidFill>
                <a:schemeClr val="accent4">
                  <a:lumMod val="60000"/>
                </a:schemeClr>
              </a:solidFill>
              <a:ln w="19050">
                <a:solidFill>
                  <a:schemeClr val="bg1"/>
                </a:solidFill>
              </a:ln>
            </c:spPr>
          </c:dPt>
          <c:dPt>
            <c:idx val="10"/>
            <c:spPr>
              <a:solidFill>
                <a:schemeClr val="accent5">
                  <a:lumMod val="60000"/>
                </a:schemeClr>
              </a:solidFill>
              <a:ln w="19050">
                <a:solidFill>
                  <a:schemeClr val="bg1"/>
                </a:solidFill>
              </a:ln>
            </c:spPr>
          </c:dPt>
          <c:dPt>
            <c:idx val="11"/>
            <c:spPr>
              <a:solidFill>
                <a:schemeClr val="accent6">
                  <a:lumMod val="60000"/>
                </a:schemeClr>
              </a:solidFill>
              <a:ln w="19050">
                <a:solidFill>
                  <a:schemeClr val="bg1"/>
                </a:solidFill>
              </a:ln>
            </c:spPr>
          </c:dPt>
          <c:dLbls>
            <c:numFmt formatCode="General" sourceLinked="1"/>
            <c:showLegendKey val="0"/>
            <c:showVal val="0"/>
            <c:showBubbleSize val="0"/>
            <c:showCatName val="0"/>
            <c:showSerName val="0"/>
            <c:showLeaderLines val="1"/>
            <c:showPercent val="0"/>
          </c:dLbls>
          <c:cat>
            <c:strRef>
              <c:f>COGS!$A$3:$A$14</c:f>
              <c:strCache/>
            </c:strRef>
          </c:cat>
          <c:val>
            <c:numRef>
              <c:f>COGS!$I$3:$I$14</c:f>
              <c:numCache/>
            </c:numRef>
          </c:val>
        </c:ser>
        <c:holeSize val="75"/>
      </c:doughnutChart>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3200" b="0" i="0" u="none" baseline="0">
                <a:latin typeface="Calibri"/>
                <a:ea typeface="Calibri"/>
                <a:cs typeface="Calibri"/>
              </a:rPr>
              <a:t>Sensitivity</a:t>
            </a:r>
            <a:r>
              <a:rPr lang="en-US" cap="none" sz="3200" b="0" i="0" u="none" baseline="0">
                <a:latin typeface="Calibri"/>
                <a:ea typeface="Calibri"/>
                <a:cs typeface="Calibri"/>
              </a:rPr>
              <a:t> Analysis</a:t>
            </a:r>
          </a:p>
        </c:rich>
      </c:tx>
      <c:layout/>
      <c:overlay val="0"/>
      <c:spPr>
        <a:noFill/>
        <a:ln>
          <a:noFill/>
        </a:ln>
      </c:spPr>
    </c:title>
    <c:plotArea>
      <c:layout/>
      <c:lineChart>
        <c:grouping val="standard"/>
        <c:varyColors val="0"/>
        <c:ser>
          <c:idx val="0"/>
          <c:order val="0"/>
          <c:tx>
            <c:strRef>
              <c:f>Sensitivity!$X$2</c:f>
              <c:strCache>
                <c:ptCount val="1"/>
                <c:pt idx="0">
                  <c:v>Separate</c:v>
                </c:pt>
              </c:strCache>
            </c:strRef>
          </c:tx>
          <c:spPr>
            <a:ln w="28575">
              <a:solidFill>
                <a:schemeClr val="accent6">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Sensitivity!$W$3:$W$7</c:f>
              <c:numCache/>
            </c:numRef>
          </c:cat>
          <c:val>
            <c:numRef>
              <c:f>Sensitivity!$X$3:$X$7</c:f>
              <c:numCache/>
            </c:numRef>
          </c:val>
          <c:smooth val="0"/>
        </c:ser>
        <c:ser>
          <c:idx val="4"/>
          <c:order val="1"/>
          <c:tx>
            <c:strRef>
              <c:f>Sensitivity!$Y$2</c:f>
              <c:strCache>
                <c:ptCount val="1"/>
                <c:pt idx="0">
                  <c:v>Consolidated</c:v>
                </c:pt>
              </c:strCache>
            </c:strRef>
          </c:tx>
          <c:spPr>
            <a:ln w="28575">
              <a:solidFill>
                <a:schemeClr val="bg1">
                  <a:lumMod val="6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Sensitivity!$W$3:$W$7</c:f>
              <c:numCache/>
            </c:numRef>
          </c:cat>
          <c:val>
            <c:numRef>
              <c:f>Sensitivity!$Y$3:$Y$7</c:f>
              <c:numCache/>
            </c:numRef>
          </c:val>
          <c:smooth val="0"/>
        </c:ser>
        <c:ser>
          <c:idx val="5"/>
          <c:order val="2"/>
          <c:tx>
            <c:strRef>
              <c:f>Sensitivity!$Z$2</c:f>
              <c:strCache>
                <c:ptCount val="1"/>
                <c:pt idx="0">
                  <c:v>Buy Pork</c:v>
                </c:pt>
              </c:strCache>
            </c:strRef>
          </c:tx>
          <c:spPr>
            <a:ln w="28575">
              <a:solidFill>
                <a:schemeClr val="accent2">
                  <a:lumMod val="40000"/>
                  <a:lumOff val="6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Sensitivity!$W$3:$W$7</c:f>
              <c:numCache/>
            </c:numRef>
          </c:cat>
          <c:val>
            <c:numRef>
              <c:f>Sensitivity!$Z$3:$Z$7</c:f>
              <c:numCache/>
            </c:numRef>
          </c:val>
          <c:smooth val="0"/>
        </c:ser>
        <c:ser>
          <c:idx val="3"/>
          <c:order val="3"/>
          <c:tx>
            <c:strRef>
              <c:f>Sensitivity!$AA$2</c:f>
              <c:strCache>
                <c:ptCount val="1"/>
                <c:pt idx="0">
                  <c:v>Buy Beef</c:v>
                </c:pt>
              </c:strCache>
            </c:strRef>
          </c:tx>
          <c:spPr>
            <a:ln w="28575" cap="rnd">
              <a:solidFill>
                <a:srgbClr val="CEF0FA"/>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Sensitivity!$W$3:$W$7</c:f>
              <c:numCache/>
            </c:numRef>
          </c:cat>
          <c:val>
            <c:numRef>
              <c:f>Sensitivity!$AA$3:$AA$7</c:f>
              <c:numCache/>
            </c:numRef>
          </c:val>
          <c:smooth val="0"/>
        </c:ser>
        <c:axId val="12924622"/>
        <c:axId val="49212735"/>
      </c:lineChart>
      <c:catAx>
        <c:axId val="12924622"/>
        <c:scaling>
          <c:orientation val="minMax"/>
        </c:scaling>
        <c:axPos val="b"/>
        <c:title>
          <c:tx>
            <c:rich>
              <a:bodyPr vert="horz" rot="0" anchor="ctr"/>
              <a:lstStyle/>
              <a:p>
                <a:pPr algn="ctr">
                  <a:defRPr/>
                </a:pPr>
                <a:r>
                  <a:rPr lang="en-US" cap="none" sz="2800" b="0" i="0" u="none" baseline="0">
                    <a:latin typeface="Calibri"/>
                    <a:ea typeface="Calibri"/>
                    <a:cs typeface="Calibri"/>
                  </a:rPr>
                  <a:t>Percentage of Meatballs Unsold</a:t>
                </a:r>
              </a:p>
            </c:rich>
          </c:tx>
          <c:layout/>
          <c:overlay val="0"/>
          <c:spPr>
            <a:noFill/>
            <a:ln>
              <a:noFill/>
            </a:ln>
          </c:spPr>
        </c:title>
        <c:delete val="0"/>
        <c:numFmt formatCode="0%"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9212735"/>
        <c:crosses val="autoZero"/>
        <c:auto val="1"/>
        <c:lblOffset val="100"/>
        <c:noMultiLvlLbl val="0"/>
      </c:catAx>
      <c:valAx>
        <c:axId val="49212735"/>
        <c:scaling>
          <c:orientation val="minMax"/>
        </c:scaling>
        <c:axPos val="l"/>
        <c:title>
          <c:tx>
            <c:rich>
              <a:bodyPr vert="horz" rot="-5400000" anchor="ctr"/>
              <a:lstStyle/>
              <a:p>
                <a:pPr algn="ctr">
                  <a:defRPr/>
                </a:pPr>
                <a:r>
                  <a:rPr lang="en-US" cap="none" sz="2800" b="0" i="0" u="none" baseline="0">
                    <a:latin typeface="Calibri"/>
                    <a:ea typeface="Calibri"/>
                    <a:cs typeface="Calibri"/>
                  </a:rPr>
                  <a:t>Profit(in $)</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_(* #,##0_);_(* \(#,##0\);_(* &quot;-&quot;??_);_(@_)"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2924622"/>
        <c:crosses val="autoZero"/>
        <c:crossBetween val="between"/>
        <c:dispUnits/>
      </c:valAx>
    </c:plotArea>
    <c:legend>
      <c:legendPos val="b"/>
      <c:layout/>
      <c:overlay val="0"/>
      <c:spPr>
        <a:noFill/>
        <a:ln>
          <a:noFill/>
        </a:ln>
      </c:spPr>
      <c:txPr>
        <a:bodyPr vert="horz" rot="0"/>
        <a:lstStyle/>
        <a:p>
          <a:pPr>
            <a:defRPr lang="en-US" cap="none" sz="2400" b="0" i="0" u="none" baseline="0">
              <a:solidFill>
                <a:schemeClr val="tx1">
                  <a:lumMod val="65000"/>
                  <a:lumOff val="35000"/>
                </a:schemeClr>
              </a:solidFill>
              <a:latin typeface="+mn-lt"/>
              <a:ea typeface="Calibri"/>
              <a:cs typeface="Calibri"/>
            </a:defRPr>
          </a:pPr>
        </a:p>
      </c:txPr>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Ex1.xml><?xml version="1.0" encoding="utf-8"?>
<cx:chartSpace xmlns:cx="http://schemas.microsoft.com/office/drawing/2014/chartex" xmlns:a="http://schemas.openxmlformats.org/drawingml/2006/main" xmlns:r="http://schemas.openxmlformats.org/officeDocument/2006/relationships">
  <cx:chartData>
    <cx:data id="0">
      <cx:numDim type="val">
        <cx:f>_xlchart.v2.1</cx:f>
      </cx:numDim>
      <cx:strDim type="cat">
        <cx:f>_xlchart.v2.0</cx:f>
      </cx:strDim>
    </cx:data>
  </cx:chartData>
  <cx:chart>
    <cx:title overlay="0" align="ctr" pos="t">
      <cx:tx>
        <cx:txData>
          <cx:v>Cost Waterfall-Separate Livestock Purchases</cx:v>
        </cx:txData>
      </cx:tx>
      <cx:spPr>
        <a:noFill/>
        <a:ln>
          <a:noFill/>
        </a:ln>
      </cx:spPr>
    </cx:title>
    <cx:plotArea>
      <cx:plotAreaRegion>
        <cx:plotSurface/>
        <cx:series layoutId="waterfall">
          <cx:dataId val="0"/>
          <cx:layoutPr>
            <cx:visibility connectorLines="1"/>
            <cx:subtotals>
              <cx:idx val="17"/>
            </cx:subtotals>
          </cx:layoutPr>
        </cx:series>
      </cx:plotAreaRegion>
      <cx:axis id="0">
        <cx:catScaling gapWidth="0.5"/>
        <cx:majorTickMarks type="none"/>
        <cx:minorTickMarks type="none"/>
        <cx:tickLabels/>
        <cx:numFmt formatCode="General" sourceLinked="1"/>
      </cx:axis>
      <cx:axis id="1">
        <cx:valScaling/>
        <cx:majorGridlines/>
        <cx:majorTickMarks type="none"/>
        <cx:minorTickMarks type="none"/>
        <cx:tickLabels/>
        <cx:numFmt formatCode="General" sourceLinked="1"/>
      </cx:axis>
    </cx:plotArea>
    <cx:legend overlay="0" align="ctr" pos="t"/>
  </cx:chart>
</cx:chartSpace>
</file>

<file path=xl/charts/chartEx3.xml><?xml version="1.0" encoding="utf-8"?>
<cx:chartSpace xmlns:cx="http://schemas.microsoft.com/office/drawing/2014/chartex" xmlns:a="http://schemas.openxmlformats.org/drawingml/2006/main" xmlns:r="http://schemas.openxmlformats.org/officeDocument/2006/relationships">
  <cx:chartData>
    <cx:data id="0">
      <cx:numDim type="val">
        <cx:f>_xlchart.v2.3</cx:f>
      </cx:numDim>
      <cx:strDim type="cat">
        <cx:f>_xlchart.v2.2</cx:f>
      </cx:strDim>
    </cx:data>
  </cx:chartData>
  <cx:chart>
    <cx:title overlay="0" align="ctr" pos="t">
      <cx:tx>
        <cx:txData>
          <cx:v>Cost Waterfall-Consolidated Livestock Purchases</cx:v>
        </cx:txData>
      </cx:tx>
      <cx:spPr>
        <a:noFill/>
        <a:ln>
          <a:noFill/>
        </a:ln>
      </cx:spPr>
    </cx:title>
    <cx:plotArea>
      <cx:plotAreaRegion>
        <cx:plotSurface/>
        <cx:series layoutId="waterfall">
          <cx:dataId val="0"/>
          <cx:layoutPr>
            <cx:visibility connectorLines="1"/>
            <cx:subtotals>
              <cx:idx val="17"/>
            </cx:subtotals>
          </cx:layoutPr>
        </cx:series>
      </cx:plotAreaRegion>
      <cx:axis id="0">
        <cx:catScaling gapWidth="0.5"/>
        <cx:majorTickMarks type="none"/>
        <cx:minorTickMarks type="none"/>
        <cx:tickLabels/>
        <cx:numFmt formatCode="General" sourceLinked="1"/>
      </cx:axis>
      <cx:axis id="1">
        <cx:valScaling/>
        <cx:majorGridlines/>
        <cx:majorTickMarks type="none"/>
        <cx:minorTickMarks type="none"/>
        <cx:tickLabels/>
        <cx:numFmt formatCode="General" sourceLinked="1"/>
      </cx:axis>
    </cx:plotArea>
    <cx:legend overlay="0" align="ctr" pos="t"/>
  </cx:chart>
</cx:chartSpace>
</file>

<file path=xl/charts/chartEx4.xml><?xml version="1.0" encoding="utf-8"?>
<cx:chartSpace xmlns:cx="http://schemas.microsoft.com/office/drawing/2014/chartex" xmlns:a="http://schemas.openxmlformats.org/drawingml/2006/main" xmlns:r="http://schemas.openxmlformats.org/officeDocument/2006/relationships">
  <cx:chartData>
    <cx:data id="0">
      <cx:numDim type="val">
        <cx:f>_xlchart.v2.5</cx:f>
      </cx:numDim>
      <cx:strDim type="cat">
        <cx:f>_xlchart.v2.4</cx:f>
      </cx:strDim>
    </cx:data>
  </cx:chartData>
  <cx:chart>
    <cx:title overlay="0" align="ctr" pos="t">
      <cx:tx>
        <cx:txData>
          <cx:v>Cost Waterfall-Purchase Ground Pork</cx:v>
        </cx:txData>
      </cx:tx>
      <cx:spPr>
        <a:noFill/>
        <a:ln>
          <a:noFill/>
        </a:ln>
      </cx:spPr>
    </cx:title>
    <cx:plotArea>
      <cx:plotAreaRegion>
        <cx:plotSurface/>
        <cx:series layoutId="waterfall">
          <cx:dataId val="0"/>
          <cx:layoutPr>
            <cx:visibility connectorLines="1"/>
            <cx:subtotals>
              <cx:idx val="17"/>
            </cx:subtotals>
          </cx:layoutPr>
        </cx:series>
      </cx:plotAreaRegion>
      <cx:axis id="0">
        <cx:catScaling gapWidth="0.5"/>
        <cx:majorTickMarks type="none"/>
        <cx:minorTickMarks type="none"/>
        <cx:tickLabels/>
        <cx:numFmt formatCode="General" sourceLinked="1"/>
      </cx:axis>
      <cx:axis id="1">
        <cx:valScaling/>
        <cx:majorGridlines/>
        <cx:majorTickMarks type="none"/>
        <cx:minorTickMarks type="none"/>
        <cx:tickLabels/>
        <cx:numFmt formatCode="General" sourceLinked="1"/>
      </cx:axis>
    </cx:plotArea>
    <cx:legend overlay="0" align="ctr" pos="t"/>
  </cx:chart>
</cx:chartSpace>
</file>

<file path=xl/charts/chartEx8.xml><?xml version="1.0" encoding="utf-8"?>
<cx:chartSpace xmlns:cx="http://schemas.microsoft.com/office/drawing/2014/chartex" xmlns:a="http://schemas.openxmlformats.org/drawingml/2006/main" xmlns:r="http://schemas.openxmlformats.org/officeDocument/2006/relationships">
  <cx:chartData>
    <cx:data id="0">
      <cx:numDim type="val">
        <cx:f>_xlchart.v2.7</cx:f>
      </cx:numDim>
      <cx:strDim type="cat">
        <cx:f>_xlchart.v2.6</cx:f>
      </cx:strDim>
    </cx:data>
  </cx:chartData>
  <cx:chart>
    <cx:title overlay="0" align="ctr" pos="t">
      <cx:tx>
        <cx:txData>
          <cx:v>Cost Waterfall-Purchase Ground Beef</cx:v>
        </cx:txData>
      </cx:tx>
      <cx:spPr>
        <a:noFill/>
        <a:ln>
          <a:noFill/>
        </a:ln>
      </cx:spPr>
    </cx:title>
    <cx:plotArea>
      <cx:plotAreaRegion>
        <cx:plotSurface/>
        <cx:series layoutId="waterfall">
          <cx:dataId val="0"/>
          <cx:layoutPr>
            <cx:visibility connectorLines="1"/>
            <cx:subtotals>
              <cx:idx val="17"/>
            </cx:subtotals>
          </cx:layoutPr>
        </cx:series>
      </cx:plotAreaRegion>
      <cx:axis id="0">
        <cx:catScaling gapWidth="0.5"/>
        <cx:majorTickMarks type="none"/>
        <cx:minorTickMarks type="none"/>
        <cx:tickLabels/>
        <cx:numFmt formatCode="General" sourceLinked="1"/>
      </cx:axis>
      <cx:axis id="1">
        <cx:valScaling/>
        <cx:majorGridlines/>
        <cx:majorTickMarks type="none"/>
        <cx:minorTickMarks type="none"/>
        <cx:tickLabels/>
        <cx:numFmt formatCode="General" sourceLinked="1"/>
      </cx:axis>
    </cx:plotArea>
    <cx:legend overlay="0" align="ctr" pos="t"/>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microsoft.com/office/2014/relationships/chartEx" Target="../charts/chartEx1.xml" /><Relationship Id="rId3" Type="http://schemas.microsoft.com/office/2014/relationships/chartEx" Target="../charts/chartEx2.xml" /><Relationship Id="rId4" Type="http://schemas.microsoft.com/office/2014/relationships/chartEx" Target="../charts/chartEx3.xml" /><Relationship Id="rId8" Type="http://schemas.microsoft.com/office/2014/relationships/chartEx" Target="../charts/chartEx4.xml" /><Relationship Id="rId9" Type="http://schemas.openxmlformats.org/officeDocument/2006/relationships/chart" Target="/xl/charts/chartEx1.xml" /><Relationship Id="rId10" Type="http://schemas.openxmlformats.org/officeDocument/2006/relationships/chart" Target="/xl/charts/chart2.xml" /><Relationship Id="rId11" Type="http://schemas.openxmlformats.org/officeDocument/2006/relationships/chart" Target="/xl/charts/chartEx3.xml" /><Relationship Id="rId12" Type="http://schemas.openxmlformats.org/officeDocument/2006/relationships/chart" Target="/xl/charts/chartEx4.xml" /><Relationship Id="rId13" Type="http://schemas.openxmlformats.org/officeDocument/2006/relationships/chart" Target="/xl/charts/chart5.xml" /><Relationship Id="rId14" Type="http://schemas.openxmlformats.org/officeDocument/2006/relationships/chart" Target="/xl/charts/chart6.xml" /><Relationship Id="rId15" Type="http://schemas.openxmlformats.org/officeDocument/2006/relationships/chart" Target="/xl/charts/chart7.xml" /><Relationship Id="rId16" Type="http://schemas.openxmlformats.org/officeDocument/2006/relationships/chart" Target="/xl/charts/chartEx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590550</xdr:colOff>
      <xdr:row>17</xdr:row>
      <xdr:rowOff>38100</xdr:rowOff>
    </xdr:from>
    <xdr:to>
      <xdr:col>17</xdr:col>
      <xdr:colOff>419100</xdr:colOff>
      <xdr:row>38</xdr:row>
      <xdr:rowOff>76200</xdr:rowOff>
    </xdr:to>
    <mc:AlternateContent xmlns:mc="http://schemas.openxmlformats.org/markup-compatibility/2006">
      <mc:Choice xmlns:cx="http://schemas.microsoft.com/office/drawing/2014/chartex" Requires="cx">
        <xdr:graphicFrame macro="">
          <xdr:nvGraphicFramePr>
            <xdr:cNvPr id="10" name="Chart 9"/>
            <xdr:cNvGraphicFramePr/>
          </xdr:nvGraphicFramePr>
          <xdr:xfrm>
            <a:off x="11896725" y="3295650"/>
            <a:ext cx="4552950" cy="4048125"/>
          </xdr:xfrm>
          <a:graphic>
            <a:graphicData uri="http://schemas.microsoft.com/office/drawing/2014/chartex">
              <c:chart xmlns:r="http://schemas.openxmlformats.org/officeDocument/2006/relationships" xmlns:c="http://schemas.openxmlformats.org/drawingml/2006/chart" r:id="rId9"/>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10</xdr:col>
      <xdr:colOff>19050</xdr:colOff>
      <xdr:row>2</xdr:row>
      <xdr:rowOff>9525</xdr:rowOff>
    </xdr:from>
    <xdr:to>
      <xdr:col>17</xdr:col>
      <xdr:colOff>476250</xdr:colOff>
      <xdr:row>15</xdr:row>
      <xdr:rowOff>161925</xdr:rowOff>
    </xdr:to>
    <xdr:graphicFrame macro="">
      <xdr:nvGraphicFramePr>
        <xdr:cNvPr id="13" name="Chart 12"/>
        <xdr:cNvGraphicFramePr/>
      </xdr:nvGraphicFramePr>
      <xdr:xfrm>
        <a:off x="11915775" y="390525"/>
        <a:ext cx="4591050" cy="2647950"/>
      </xdr:xfrm>
      <a:graphic>
        <a:graphicData uri="http://schemas.openxmlformats.org/drawingml/2006/chart">
          <c:chart xmlns:c="http://schemas.openxmlformats.org/drawingml/2006/chart" r:id="rId10"/>
        </a:graphicData>
      </a:graphic>
    </xdr:graphicFrame>
    <xdr:clientData/>
  </xdr:twoCellAnchor>
  <xdr:twoCellAnchor>
    <xdr:from>
      <xdr:col>18</xdr:col>
      <xdr:colOff>590550</xdr:colOff>
      <xdr:row>17</xdr:row>
      <xdr:rowOff>66675</xdr:rowOff>
    </xdr:from>
    <xdr:to>
      <xdr:col>26</xdr:col>
      <xdr:colOff>352425</xdr:colOff>
      <xdr:row>38</xdr:row>
      <xdr:rowOff>104775</xdr:rowOff>
    </xdr:to>
    <mc:AlternateContent xmlns:mc="http://schemas.openxmlformats.org/markup-compatibility/2006">
      <mc:Choice xmlns:cx="http://schemas.microsoft.com/office/drawing/2014/chartex" Requires="cx">
        <xdr:graphicFrame macro="">
          <xdr:nvGraphicFramePr>
            <xdr:cNvPr id="14" name="Chart 13"/>
            <xdr:cNvGraphicFramePr/>
          </xdr:nvGraphicFramePr>
          <xdr:xfrm>
            <a:off x="17211675" y="3324225"/>
            <a:ext cx="4486275" cy="4048125"/>
          </xdr:xfrm>
          <a:graphic>
            <a:graphicData uri="http://schemas.microsoft.com/office/drawing/2014/chartex">
              <c:chart xmlns:r="http://schemas.openxmlformats.org/officeDocument/2006/relationships" xmlns:c="http://schemas.openxmlformats.org/drawingml/2006/chart" r:id="rId11"/>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27</xdr:col>
      <xdr:colOff>561975</xdr:colOff>
      <xdr:row>17</xdr:row>
      <xdr:rowOff>66675</xdr:rowOff>
    </xdr:from>
    <xdr:to>
      <xdr:col>35</xdr:col>
      <xdr:colOff>323850</xdr:colOff>
      <xdr:row>38</xdr:row>
      <xdr:rowOff>104775</xdr:rowOff>
    </xdr:to>
    <mc:AlternateContent xmlns:mc="http://schemas.openxmlformats.org/markup-compatibility/2006">
      <mc:Choice xmlns:cx="http://schemas.microsoft.com/office/drawing/2014/chartex" Requires="cx">
        <xdr:graphicFrame macro="">
          <xdr:nvGraphicFramePr>
            <xdr:cNvPr id="15" name="Chart 14"/>
            <xdr:cNvGraphicFramePr/>
          </xdr:nvGraphicFramePr>
          <xdr:xfrm>
            <a:off x="22498050" y="3324225"/>
            <a:ext cx="4486275" cy="4048125"/>
          </xdr:xfrm>
          <a:graphic>
            <a:graphicData uri="http://schemas.microsoft.com/office/drawing/2014/chartex">
              <c:chart xmlns:r="http://schemas.openxmlformats.org/officeDocument/2006/relationships" xmlns:c="http://schemas.openxmlformats.org/drawingml/2006/chart" r:id="rId12"/>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18</xdr:col>
      <xdr:colOff>590550</xdr:colOff>
      <xdr:row>2</xdr:row>
      <xdr:rowOff>66675</xdr:rowOff>
    </xdr:from>
    <xdr:to>
      <xdr:col>26</xdr:col>
      <xdr:colOff>323850</xdr:colOff>
      <xdr:row>16</xdr:row>
      <xdr:rowOff>19050</xdr:rowOff>
    </xdr:to>
    <xdr:graphicFrame macro="">
      <xdr:nvGraphicFramePr>
        <xdr:cNvPr id="16" name="Chart 15"/>
        <xdr:cNvGraphicFramePr/>
      </xdr:nvGraphicFramePr>
      <xdr:xfrm>
        <a:off x="17211675" y="447675"/>
        <a:ext cx="4457700" cy="2638425"/>
      </xdr:xfrm>
      <a:graphic>
        <a:graphicData uri="http://schemas.openxmlformats.org/drawingml/2006/chart">
          <c:chart xmlns:c="http://schemas.openxmlformats.org/drawingml/2006/chart" r:id="rId13"/>
        </a:graphicData>
      </a:graphic>
    </xdr:graphicFrame>
    <xdr:clientData/>
  </xdr:twoCellAnchor>
  <xdr:twoCellAnchor>
    <xdr:from>
      <xdr:col>27</xdr:col>
      <xdr:colOff>571500</xdr:colOff>
      <xdr:row>2</xdr:row>
      <xdr:rowOff>66675</xdr:rowOff>
    </xdr:from>
    <xdr:to>
      <xdr:col>35</xdr:col>
      <xdr:colOff>323850</xdr:colOff>
      <xdr:row>16</xdr:row>
      <xdr:rowOff>19050</xdr:rowOff>
    </xdr:to>
    <xdr:graphicFrame macro="">
      <xdr:nvGraphicFramePr>
        <xdr:cNvPr id="17" name="Chart 16"/>
        <xdr:cNvGraphicFramePr/>
      </xdr:nvGraphicFramePr>
      <xdr:xfrm>
        <a:off x="22507575" y="447675"/>
        <a:ext cx="4476750" cy="2638425"/>
      </xdr:xfrm>
      <a:graphic>
        <a:graphicData uri="http://schemas.openxmlformats.org/drawingml/2006/chart">
          <c:chart xmlns:c="http://schemas.openxmlformats.org/drawingml/2006/chart" r:id="rId14"/>
        </a:graphicData>
      </a:graphic>
    </xdr:graphicFrame>
    <xdr:clientData/>
  </xdr:twoCellAnchor>
  <xdr:twoCellAnchor>
    <xdr:from>
      <xdr:col>37</xdr:col>
      <xdr:colOff>28575</xdr:colOff>
      <xdr:row>2</xdr:row>
      <xdr:rowOff>95250</xdr:rowOff>
    </xdr:from>
    <xdr:to>
      <xdr:col>44</xdr:col>
      <xdr:colOff>381000</xdr:colOff>
      <xdr:row>16</xdr:row>
      <xdr:rowOff>47625</xdr:rowOff>
    </xdr:to>
    <xdr:graphicFrame macro="">
      <xdr:nvGraphicFramePr>
        <xdr:cNvPr id="8" name="Chart 7"/>
        <xdr:cNvGraphicFramePr/>
      </xdr:nvGraphicFramePr>
      <xdr:xfrm>
        <a:off x="27870150" y="476250"/>
        <a:ext cx="4486275" cy="2638425"/>
      </xdr:xfrm>
      <a:graphic>
        <a:graphicData uri="http://schemas.openxmlformats.org/drawingml/2006/chart">
          <c:chart xmlns:c="http://schemas.openxmlformats.org/drawingml/2006/chart" r:id="rId15"/>
        </a:graphicData>
      </a:graphic>
    </xdr:graphicFrame>
    <xdr:clientData/>
  </xdr:twoCellAnchor>
  <xdr:twoCellAnchor>
    <xdr:from>
      <xdr:col>37</xdr:col>
      <xdr:colOff>0</xdr:colOff>
      <xdr:row>17</xdr:row>
      <xdr:rowOff>66675</xdr:rowOff>
    </xdr:from>
    <xdr:to>
      <xdr:col>44</xdr:col>
      <xdr:colOff>361950</xdr:colOff>
      <xdr:row>38</xdr:row>
      <xdr:rowOff>104775</xdr:rowOff>
    </xdr:to>
    <mc:AlternateContent xmlns:mc="http://schemas.openxmlformats.org/markup-compatibility/2006">
      <mc:Choice xmlns:cx="http://schemas.microsoft.com/office/drawing/2014/chartex" Requires="cx">
        <xdr:graphicFrame macro="">
          <xdr:nvGraphicFramePr>
            <xdr:cNvPr id="9" name="Chart 8"/>
            <xdr:cNvGraphicFramePr/>
          </xdr:nvGraphicFramePr>
          <xdr:xfrm>
            <a:off x="27841575" y="3324225"/>
            <a:ext cx="4495800" cy="4048125"/>
          </xdr:xfrm>
          <a:graphic>
            <a:graphicData uri="http://schemas.microsoft.com/office/drawing/2014/chartex">
              <c:chart xmlns:r="http://schemas.openxmlformats.org/officeDocument/2006/relationships" xmlns:c="http://schemas.openxmlformats.org/drawingml/2006/chart" r:id="rId16"/>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47625</xdr:colOff>
      <xdr:row>9</xdr:row>
      <xdr:rowOff>171450</xdr:rowOff>
    </xdr:from>
    <xdr:to>
      <xdr:col>37</xdr:col>
      <xdr:colOff>171450</xdr:colOff>
      <xdr:row>47</xdr:row>
      <xdr:rowOff>104775</xdr:rowOff>
    </xdr:to>
    <xdr:graphicFrame macro="">
      <xdr:nvGraphicFramePr>
        <xdr:cNvPr id="3" name="Chart 2"/>
        <xdr:cNvGraphicFramePr/>
      </xdr:nvGraphicFramePr>
      <xdr:xfrm>
        <a:off x="19097625" y="1924050"/>
        <a:ext cx="9629775" cy="7219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tabSelected="1" workbookViewId="0" topLeftCell="A1">
      <selection activeCell="D9" sqref="D9"/>
    </sheetView>
  </sheetViews>
  <sheetFormatPr defaultColWidth="8.8515625" defaultRowHeight="15"/>
  <cols>
    <col min="1" max="1" width="108.7109375" style="0" customWidth="1"/>
  </cols>
  <sheetData>
    <row r="1" ht="15">
      <c r="A1" s="67" t="s">
        <v>111</v>
      </c>
    </row>
    <row r="2" ht="15">
      <c r="A2" s="76" t="s">
        <v>108</v>
      </c>
    </row>
    <row r="3" ht="15">
      <c r="A3" s="76" t="s">
        <v>164</v>
      </c>
    </row>
    <row r="4" ht="28.8">
      <c r="A4" s="76" t="s">
        <v>117</v>
      </c>
    </row>
    <row r="5" ht="15">
      <c r="A5" s="76" t="s">
        <v>133</v>
      </c>
    </row>
    <row r="6" ht="15">
      <c r="A6" s="1"/>
    </row>
    <row r="7" ht="15">
      <c r="A7" s="67" t="s">
        <v>112</v>
      </c>
    </row>
    <row r="8" ht="15">
      <c r="A8" s="76" t="s">
        <v>149</v>
      </c>
    </row>
    <row r="9" ht="15">
      <c r="A9" s="77" t="s">
        <v>113</v>
      </c>
    </row>
    <row r="10" ht="15" customHeight="1">
      <c r="A10" s="77" t="s">
        <v>150</v>
      </c>
    </row>
    <row r="11" ht="15">
      <c r="A11" s="76" t="s">
        <v>148</v>
      </c>
    </row>
    <row r="12" ht="15">
      <c r="A12" s="76" t="s">
        <v>162</v>
      </c>
    </row>
    <row r="13" ht="15">
      <c r="A13" s="76" t="s">
        <v>163</v>
      </c>
    </row>
    <row r="14" ht="15">
      <c r="A14" s="76" t="str">
        <f>"        a. Separate which indicates separate truckloads of hogs and cows to Acre Station to be processed"</f>
        <v xml:space="preserve">        a. Separate which indicates separate truckloads of hogs and cows to Acre Station to be processed</v>
      </c>
    </row>
    <row r="15" ht="15">
      <c r="A15" s="76" t="str">
        <f>"        a. Consolidated which indicates consolidated truckloads of hogs and cows to Acre Station to be processed"</f>
        <v xml:space="preserve">        a. Consolidated which indicates consolidated truckloads of hogs and cows to Acre Station to be processed</v>
      </c>
    </row>
    <row r="16" ht="16.5" customHeight="1">
      <c r="A16" s="78" t="str">
        <f>"        a. Buy Pork which indicates purchasing cows as livestock, supplemented with purchased ground pork instead of hogs"</f>
        <v xml:space="preserve">        a. Buy Pork which indicates purchasing cows as livestock, supplemented with purchased ground pork instead of hogs</v>
      </c>
    </row>
    <row r="17" spans="1:2" ht="15">
      <c r="A17" s="76" t="s">
        <v>165</v>
      </c>
      <c r="B17" s="79"/>
    </row>
    <row r="18" spans="1:2" ht="28.8">
      <c r="A18" s="76" t="s">
        <v>166</v>
      </c>
      <c r="B18" s="79"/>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showGridLines="0" zoomScale="46" zoomScaleNormal="46" zoomScalePageLayoutView="190" workbookViewId="0" topLeftCell="B3">
      <selection activeCell="AF4" sqref="AF4"/>
    </sheetView>
  </sheetViews>
  <sheetFormatPr defaultColWidth="8.8515625" defaultRowHeight="15"/>
  <cols>
    <col min="1" max="1" width="36.421875" style="0" bestFit="1" customWidth="1"/>
    <col min="2" max="2" width="11.28125" style="0" bestFit="1" customWidth="1"/>
    <col min="3" max="3" width="13.28125" style="0" customWidth="1"/>
    <col min="4" max="5" width="11.8515625" style="0" customWidth="1"/>
    <col min="6" max="6" width="10.00390625" style="0" bestFit="1" customWidth="1"/>
    <col min="7" max="7" width="12.7109375" style="0" bestFit="1" customWidth="1"/>
    <col min="8" max="8" width="12.140625" style="0" bestFit="1" customWidth="1"/>
    <col min="9" max="9" width="12.140625" style="0" customWidth="1"/>
    <col min="10" max="10" width="10.00390625" style="0" bestFit="1" customWidth="1"/>
    <col min="11" max="11" width="12.7109375" style="0" bestFit="1" customWidth="1"/>
    <col min="12" max="12" width="12.140625" style="0" bestFit="1" customWidth="1"/>
    <col min="13" max="13" width="12.140625" style="0" customWidth="1"/>
    <col min="14" max="14" width="10.00390625" style="0" bestFit="1" customWidth="1"/>
    <col min="15" max="15" width="12.7109375" style="0" bestFit="1" customWidth="1"/>
    <col min="16" max="16" width="12.140625" style="0" bestFit="1" customWidth="1"/>
    <col min="17" max="17" width="12.140625" style="0" customWidth="1"/>
    <col min="18" max="18" width="10.8515625" style="0" bestFit="1" customWidth="1"/>
    <col min="19" max="19" width="12.7109375" style="0" bestFit="1" customWidth="1"/>
    <col min="20" max="20" width="12.140625" style="0" bestFit="1" customWidth="1"/>
    <col min="21" max="22" width="12.140625" style="0" customWidth="1"/>
    <col min="23" max="23" width="14.421875" style="0" bestFit="1" customWidth="1"/>
    <col min="24" max="24" width="9.140625" style="0" bestFit="1" customWidth="1"/>
    <col min="25" max="25" width="12.7109375" style="0" bestFit="1" customWidth="1"/>
    <col min="26" max="27" width="8.8515625" style="0" bestFit="1" customWidth="1"/>
  </cols>
  <sheetData>
    <row r="1" spans="1:27" ht="18.6" thickBot="1">
      <c r="A1" s="245" t="s">
        <v>140</v>
      </c>
      <c r="B1" s="213"/>
      <c r="C1" s="213"/>
      <c r="D1" s="213"/>
      <c r="E1" s="213"/>
      <c r="F1" s="213"/>
      <c r="G1" s="213"/>
      <c r="H1" s="213"/>
      <c r="I1" s="213"/>
      <c r="J1" s="213"/>
      <c r="K1" s="213"/>
      <c r="L1" s="213"/>
      <c r="M1" s="213"/>
      <c r="N1" s="213"/>
      <c r="O1" s="213"/>
      <c r="P1" s="213"/>
      <c r="Q1" s="213"/>
      <c r="R1" s="213"/>
      <c r="S1" s="213"/>
      <c r="T1" s="213"/>
      <c r="U1" s="213"/>
      <c r="W1" s="242" t="s">
        <v>141</v>
      </c>
      <c r="X1" s="243"/>
      <c r="Y1" s="243"/>
      <c r="Z1" s="243"/>
      <c r="AA1" s="244"/>
    </row>
    <row r="2" spans="1:27" ht="15">
      <c r="A2" s="215" t="s">
        <v>15</v>
      </c>
      <c r="B2" s="215"/>
      <c r="C2" s="215"/>
      <c r="D2" s="215"/>
      <c r="E2" s="215"/>
      <c r="F2" s="215"/>
      <c r="G2" s="215"/>
      <c r="H2" s="215"/>
      <c r="I2" s="215"/>
      <c r="J2" s="215"/>
      <c r="K2" s="215"/>
      <c r="L2" s="215"/>
      <c r="M2" s="215"/>
      <c r="N2" s="215"/>
      <c r="O2" s="215"/>
      <c r="P2" s="215"/>
      <c r="Q2" s="215"/>
      <c r="R2" s="215"/>
      <c r="S2" s="215"/>
      <c r="T2" s="215"/>
      <c r="U2" s="215"/>
      <c r="W2" s="200" t="s">
        <v>142</v>
      </c>
      <c r="X2" s="201" t="s">
        <v>138</v>
      </c>
      <c r="Y2" s="202" t="s">
        <v>137</v>
      </c>
      <c r="Z2" s="203" t="s">
        <v>154</v>
      </c>
      <c r="AA2" s="204" t="s">
        <v>178</v>
      </c>
    </row>
    <row r="3" spans="2:27" ht="15" thickBot="1">
      <c r="B3" s="215"/>
      <c r="C3" s="215"/>
      <c r="D3" s="215"/>
      <c r="E3" s="173"/>
      <c r="F3" s="1"/>
      <c r="G3" s="1"/>
      <c r="H3" s="1"/>
      <c r="I3" s="1"/>
      <c r="J3" s="1"/>
      <c r="K3" s="1"/>
      <c r="L3" s="1"/>
      <c r="M3" s="1"/>
      <c r="N3" s="1"/>
      <c r="O3" s="1"/>
      <c r="P3" s="1"/>
      <c r="Q3" s="1"/>
      <c r="W3" s="65">
        <f>B4</f>
        <v>0</v>
      </c>
      <c r="X3" s="117">
        <f>B48</f>
        <v>1824.333019300063</v>
      </c>
      <c r="Y3" s="30">
        <f>C48</f>
        <v>1932.4102286302132</v>
      </c>
      <c r="Z3" s="198">
        <f>D48</f>
        <v>2435.978547755348</v>
      </c>
      <c r="AA3" s="185">
        <f>E48</f>
        <v>4201.317508754221</v>
      </c>
    </row>
    <row r="4" spans="1:27" ht="15">
      <c r="A4" s="177" t="s">
        <v>109</v>
      </c>
      <c r="B4" s="246">
        <v>0</v>
      </c>
      <c r="C4" s="247"/>
      <c r="D4" s="247"/>
      <c r="E4" s="248"/>
      <c r="F4" s="246">
        <v>0.2</v>
      </c>
      <c r="G4" s="247"/>
      <c r="H4" s="247"/>
      <c r="I4" s="248"/>
      <c r="J4" s="246">
        <v>0.4</v>
      </c>
      <c r="K4" s="247"/>
      <c r="L4" s="247"/>
      <c r="M4" s="248"/>
      <c r="N4" s="246">
        <v>0.6</v>
      </c>
      <c r="O4" s="247"/>
      <c r="P4" s="247"/>
      <c r="Q4" s="248"/>
      <c r="R4" s="246">
        <v>0.8</v>
      </c>
      <c r="S4" s="247"/>
      <c r="T4" s="247"/>
      <c r="U4" s="248"/>
      <c r="W4" s="65">
        <f>F4</f>
        <v>0.2</v>
      </c>
      <c r="X4" s="117">
        <f>F48</f>
        <v>937.8664154400512</v>
      </c>
      <c r="Y4" s="30">
        <f>G48</f>
        <v>1024.3281829041707</v>
      </c>
      <c r="Z4" s="198">
        <f>H48</f>
        <v>1427.1828382042786</v>
      </c>
      <c r="AA4" s="185">
        <f>I48</f>
        <v>2839.4546470033783</v>
      </c>
    </row>
    <row r="5" spans="1:27" ht="15">
      <c r="A5" s="178"/>
      <c r="B5" s="72" t="s">
        <v>138</v>
      </c>
      <c r="C5" s="73" t="s">
        <v>137</v>
      </c>
      <c r="D5" s="180" t="s">
        <v>154</v>
      </c>
      <c r="E5" s="183" t="s">
        <v>178</v>
      </c>
      <c r="F5" s="72" t="s">
        <v>138</v>
      </c>
      <c r="G5" s="73" t="s">
        <v>137</v>
      </c>
      <c r="H5" s="180" t="s">
        <v>154</v>
      </c>
      <c r="I5" s="183" t="s">
        <v>178</v>
      </c>
      <c r="J5" s="72" t="s">
        <v>138</v>
      </c>
      <c r="K5" s="73" t="s">
        <v>137</v>
      </c>
      <c r="L5" s="180" t="s">
        <v>154</v>
      </c>
      <c r="M5" s="183" t="s">
        <v>178</v>
      </c>
      <c r="N5" s="72" t="s">
        <v>138</v>
      </c>
      <c r="O5" s="73" t="s">
        <v>137</v>
      </c>
      <c r="P5" s="180" t="s">
        <v>154</v>
      </c>
      <c r="Q5" s="183" t="s">
        <v>178</v>
      </c>
      <c r="R5" s="72" t="s">
        <v>138</v>
      </c>
      <c r="S5" s="73" t="s">
        <v>137</v>
      </c>
      <c r="T5" s="180" t="s">
        <v>154</v>
      </c>
      <c r="U5" s="183" t="s">
        <v>178</v>
      </c>
      <c r="W5" s="65">
        <f>J4</f>
        <v>0.4</v>
      </c>
      <c r="X5" s="117">
        <f>J48</f>
        <v>51.39981158003866</v>
      </c>
      <c r="Y5" s="30">
        <f>K48</f>
        <v>116.24613717812827</v>
      </c>
      <c r="Z5" s="198">
        <f>L48</f>
        <v>418.3871286532085</v>
      </c>
      <c r="AA5" s="185">
        <f>M48</f>
        <v>1477.5917852525326</v>
      </c>
    </row>
    <row r="6" spans="1:27" ht="15">
      <c r="A6" s="178" t="s">
        <v>1</v>
      </c>
      <c r="B6" s="64"/>
      <c r="C6" s="181"/>
      <c r="D6" s="182"/>
      <c r="E6" s="184"/>
      <c r="F6" s="64"/>
      <c r="G6" s="43"/>
      <c r="H6" s="182"/>
      <c r="I6" s="184"/>
      <c r="J6" s="64"/>
      <c r="K6" s="43"/>
      <c r="L6" s="182"/>
      <c r="M6" s="184"/>
      <c r="N6" s="64"/>
      <c r="O6" s="43"/>
      <c r="P6" s="182"/>
      <c r="Q6" s="184"/>
      <c r="R6" s="64"/>
      <c r="S6" s="43"/>
      <c r="T6" s="182"/>
      <c r="U6" s="184"/>
      <c r="W6" s="65">
        <f>N4</f>
        <v>0.6</v>
      </c>
      <c r="X6" s="117">
        <f>N48</f>
        <v>-835.0667922799744</v>
      </c>
      <c r="Y6" s="30">
        <f>O48</f>
        <v>-791.8359085479146</v>
      </c>
      <c r="Z6" s="198">
        <f>P48</f>
        <v>-590.4085808978607</v>
      </c>
      <c r="AA6" s="185">
        <f>Q48</f>
        <v>115.72892350168922</v>
      </c>
    </row>
    <row r="7" spans="1:27" ht="15" thickBot="1">
      <c r="A7" s="179" t="s">
        <v>156</v>
      </c>
      <c r="B7" s="45">
        <f>(1-B4)*('Inputs-Separate'!$G$4*'Inputs-Separate'!$B$5+'Inputs-Separate'!$G$5*'Inputs-Separate'!$B$8+'Inputs-Separate'!$G$6*'Inputs-Separate'!$B$11)</f>
        <v>10560</v>
      </c>
      <c r="C7" s="14">
        <f>(1-B4)*('Inputs-Consolidated'!$G$4*'Inputs-Consolidated'!$B$5+'Inputs-Consolidated'!$G$5*'Inputs-Consolidated'!$B$8+'Inputs-Consolidated'!$G$6*'Inputs-Consolidated'!$B$11)</f>
        <v>10560</v>
      </c>
      <c r="D7" s="154">
        <f>(1-B4)*('Inputs-Buy Pork'!$G$4*'Inputs-Buy Pork'!$B$5+'Inputs-Buy Pork'!$G$5*'Inputs-Buy Pork'!$B$8+'Inputs-Buy Pork'!$G$6*'Inputs-Buy Pork'!$B$11)</f>
        <v>10560</v>
      </c>
      <c r="E7" s="185">
        <f>(1-B4)*('Inputs-Buy Beef'!$G$4*'Inputs-Buy Beef'!$B$5+'Inputs-Buy Beef'!$G$5*'Inputs-Buy Beef'!$B$8+'Inputs-Buy Beef'!$G$6*'Inputs-Buy Beef'!$B$11)</f>
        <v>10559.9736</v>
      </c>
      <c r="F7" s="45">
        <f>(1-F4)*('Inputs-Separate'!$G$4*'Inputs-Separate'!$B$5+'Inputs-Separate'!$G$5*'Inputs-Separate'!$B$8+'Inputs-Separate'!$G$6*'Inputs-Separate'!$B$11)</f>
        <v>8448</v>
      </c>
      <c r="G7" s="14">
        <f>(1-F4)*('Inputs-Consolidated'!$G$4*'Inputs-Consolidated'!$B$5+'Inputs-Consolidated'!$G$5*'Inputs-Consolidated'!$B$8+'Inputs-Consolidated'!$G$6*'Inputs-Consolidated'!$B$11)</f>
        <v>8448</v>
      </c>
      <c r="H7" s="154">
        <f>(1-F4)*('Inputs-Buy Pork'!$G$4*'Inputs-Buy Pork'!$B$5+'Inputs-Buy Pork'!$G$5*'Inputs-Buy Pork'!$B$8+'Inputs-Buy Pork'!$G$6*'Inputs-Buy Pork'!$B$11)</f>
        <v>8448</v>
      </c>
      <c r="I7" s="185">
        <f>(1-F4)*('Inputs-Buy Beef'!$G$4*'Inputs-Buy Beef'!$B$5+'Inputs-Buy Beef'!$G$5*'Inputs-Buy Beef'!$B$8+'Inputs-Buy Beef'!$G$6*'Inputs-Buy Beef'!$B$11)</f>
        <v>8447.97888</v>
      </c>
      <c r="J7" s="45">
        <f>(1-J4)*('Inputs-Separate'!$G$4*'Inputs-Separate'!$B$5+'Inputs-Separate'!$G$5*'Inputs-Separate'!$B$8+'Inputs-Separate'!$G$6*'Inputs-Separate'!$B$11)</f>
        <v>6336</v>
      </c>
      <c r="K7" s="14">
        <f>(1-J4)*('Inputs-Consolidated'!$G$4*'Inputs-Consolidated'!$B$5+'Inputs-Consolidated'!$G$5*'Inputs-Consolidated'!$B$8+'Inputs-Consolidated'!$G$6*'Inputs-Consolidated'!$B$11)</f>
        <v>6336</v>
      </c>
      <c r="L7" s="154">
        <f>(1-J4)*('Inputs-Buy Pork'!$G$4*'Inputs-Buy Pork'!$B$5+'Inputs-Buy Pork'!$G$5*'Inputs-Buy Pork'!$B$8+'Inputs-Buy Pork'!$G$6*'Inputs-Buy Pork'!$B$11)</f>
        <v>6336</v>
      </c>
      <c r="M7" s="185">
        <f>(1-J4)*('Inputs-Buy Beef'!$G$4*'Inputs-Buy Beef'!$B$5+'Inputs-Buy Beef'!$G$5*'Inputs-Buy Beef'!$B$8+'Inputs-Buy Beef'!$G$6*'Inputs-Buy Beef'!$B$11)</f>
        <v>6335.984159999999</v>
      </c>
      <c r="N7" s="45">
        <f>(1-N4)*('Inputs-Separate'!$G$4*'Inputs-Separate'!$B$5+'Inputs-Separate'!$G$5*'Inputs-Separate'!$B$8+'Inputs-Separate'!$G$6*'Inputs-Separate'!$B$11)</f>
        <v>4224</v>
      </c>
      <c r="O7" s="14">
        <f>(1-N4)*('Inputs-Consolidated'!$G$4*'Inputs-Consolidated'!$B$5+'Inputs-Consolidated'!$G$5*'Inputs-Consolidated'!$B$8+'Inputs-Consolidated'!$G$6*'Inputs-Consolidated'!$B$11)</f>
        <v>4224</v>
      </c>
      <c r="P7" s="154">
        <f>(1-N4)*('Inputs-Buy Pork'!$G$4*'Inputs-Buy Pork'!$B$5+'Inputs-Buy Pork'!$G$5*'Inputs-Buy Pork'!$B$8+'Inputs-Buy Pork'!$G$6*'Inputs-Buy Pork'!$B$11)</f>
        <v>4224</v>
      </c>
      <c r="Q7" s="185">
        <f>(1-N4)*('Inputs-Buy Beef'!$G$4*'Inputs-Buy Beef'!$B$5+'Inputs-Buy Beef'!$G$5*'Inputs-Buy Beef'!$B$8+'Inputs-Buy Beef'!$G$6*'Inputs-Buy Beef'!$B$11)</f>
        <v>4223.98944</v>
      </c>
      <c r="R7" s="45">
        <f>(1-R4)*('Inputs-Separate'!$G$4*'Inputs-Separate'!$B$5+'Inputs-Separate'!$G$5*'Inputs-Separate'!$B$8+'Inputs-Separate'!$G$6*'Inputs-Separate'!$B$11)</f>
        <v>2111.9999999999995</v>
      </c>
      <c r="S7" s="14">
        <f>(1-R4)*('Inputs-Consolidated'!$G$4*'Inputs-Consolidated'!$B$5+'Inputs-Consolidated'!$G$5*'Inputs-Consolidated'!$B$8+'Inputs-Consolidated'!$G$6*'Inputs-Consolidated'!$B$11)</f>
        <v>2111.9999999999995</v>
      </c>
      <c r="T7" s="154">
        <f>(1-R4)*('Inputs-Buy Pork'!$G$4*'Inputs-Buy Pork'!$B$5+'Inputs-Buy Pork'!$G$5*'Inputs-Buy Pork'!$B$8+'Inputs-Buy Pork'!$G$6*'Inputs-Buy Pork'!$B$11)</f>
        <v>2111.9999999999995</v>
      </c>
      <c r="U7" s="185">
        <f>(1-R4)*('Inputs-Buy Beef'!$G$4*'Inputs-Buy Beef'!$B$5+'Inputs-Buy Beef'!$G$5*'Inputs-Buy Beef'!$B$8+'Inputs-Buy Beef'!$G$6*'Inputs-Buy Beef'!$B$11)</f>
        <v>2111.9947199999992</v>
      </c>
      <c r="W7" s="66">
        <f>R4</f>
        <v>0.8</v>
      </c>
      <c r="X7" s="118">
        <f>R48</f>
        <v>-1721.5333961399874</v>
      </c>
      <c r="Y7" s="119">
        <f>S48</f>
        <v>-1699.9179542739575</v>
      </c>
      <c r="Z7" s="199">
        <f>T48</f>
        <v>-1599.2042904489304</v>
      </c>
      <c r="AA7" s="156">
        <f>U48</f>
        <v>-1246.133938249156</v>
      </c>
    </row>
    <row r="8" spans="1:21" ht="15" thickBot="1">
      <c r="A8" s="179" t="str">
        <f>"     Less sales returns and allowances"</f>
        <v xml:space="preserve">     Less sales returns and allowances</v>
      </c>
      <c r="B8" s="46"/>
      <c r="C8" s="39"/>
      <c r="D8" s="155"/>
      <c r="E8" s="156"/>
      <c r="F8" s="46"/>
      <c r="G8" s="39"/>
      <c r="H8" s="155"/>
      <c r="I8" s="156"/>
      <c r="J8" s="46"/>
      <c r="K8" s="39"/>
      <c r="L8" s="155"/>
      <c r="M8" s="156"/>
      <c r="N8" s="46"/>
      <c r="O8" s="39"/>
      <c r="P8" s="155"/>
      <c r="Q8" s="156"/>
      <c r="R8" s="46"/>
      <c r="S8" s="39"/>
      <c r="T8" s="155"/>
      <c r="U8" s="156"/>
    </row>
    <row r="9" spans="1:21" ht="15">
      <c r="A9" s="178" t="s">
        <v>0</v>
      </c>
      <c r="B9" s="106">
        <f aca="true" t="shared" si="0" ref="B9:T9">B7-B8</f>
        <v>10560</v>
      </c>
      <c r="C9" s="107">
        <f t="shared" si="0"/>
        <v>10560</v>
      </c>
      <c r="D9" s="188">
        <f t="shared" si="0"/>
        <v>10560</v>
      </c>
      <c r="E9" s="196">
        <f>E7-E8</f>
        <v>10559.9736</v>
      </c>
      <c r="F9" s="106">
        <f t="shared" si="0"/>
        <v>8448</v>
      </c>
      <c r="G9" s="107">
        <f t="shared" si="0"/>
        <v>8448</v>
      </c>
      <c r="H9" s="188">
        <f t="shared" si="0"/>
        <v>8448</v>
      </c>
      <c r="I9" s="196">
        <f>I7-I8</f>
        <v>8447.97888</v>
      </c>
      <c r="J9" s="106">
        <f t="shared" si="0"/>
        <v>6336</v>
      </c>
      <c r="K9" s="107">
        <f t="shared" si="0"/>
        <v>6336</v>
      </c>
      <c r="L9" s="188">
        <f t="shared" si="0"/>
        <v>6336</v>
      </c>
      <c r="M9" s="196">
        <f>M7-M8</f>
        <v>6335.984159999999</v>
      </c>
      <c r="N9" s="106">
        <f t="shared" si="0"/>
        <v>4224</v>
      </c>
      <c r="O9" s="107">
        <f t="shared" si="0"/>
        <v>4224</v>
      </c>
      <c r="P9" s="188">
        <f t="shared" si="0"/>
        <v>4224</v>
      </c>
      <c r="Q9" s="196">
        <f>Q7-Q8</f>
        <v>4223.98944</v>
      </c>
      <c r="R9" s="106">
        <f t="shared" si="0"/>
        <v>2111.9999999999995</v>
      </c>
      <c r="S9" s="107">
        <f t="shared" si="0"/>
        <v>2111.9999999999995</v>
      </c>
      <c r="T9" s="188">
        <f t="shared" si="0"/>
        <v>2111.9999999999995</v>
      </c>
      <c r="U9" s="196">
        <f>U7-U8</f>
        <v>2111.9947199999992</v>
      </c>
    </row>
    <row r="10" spans="1:21" ht="15">
      <c r="A10" s="179"/>
      <c r="B10" s="45"/>
      <c r="C10" s="14"/>
      <c r="D10" s="154"/>
      <c r="E10" s="185"/>
      <c r="F10" s="45"/>
      <c r="G10" s="14"/>
      <c r="H10" s="154"/>
      <c r="I10" s="185"/>
      <c r="J10" s="45"/>
      <c r="K10" s="14"/>
      <c r="L10" s="154"/>
      <c r="M10" s="185"/>
      <c r="N10" s="45"/>
      <c r="O10" s="14"/>
      <c r="P10" s="154"/>
      <c r="Q10" s="185"/>
      <c r="R10" s="45"/>
      <c r="S10" s="14"/>
      <c r="T10" s="154"/>
      <c r="U10" s="185"/>
    </row>
    <row r="11" spans="1:21" ht="15">
      <c r="A11" s="178" t="s">
        <v>2</v>
      </c>
      <c r="B11" s="108"/>
      <c r="C11" s="109"/>
      <c r="D11" s="186"/>
      <c r="E11" s="191"/>
      <c r="F11" s="108"/>
      <c r="G11" s="109"/>
      <c r="H11" s="186"/>
      <c r="I11" s="191"/>
      <c r="J11" s="108"/>
      <c r="K11" s="109"/>
      <c r="L11" s="186"/>
      <c r="M11" s="191"/>
      <c r="N11" s="108"/>
      <c r="O11" s="109"/>
      <c r="P11" s="186"/>
      <c r="Q11" s="191"/>
      <c r="R11" s="108"/>
      <c r="S11" s="109"/>
      <c r="T11" s="186"/>
      <c r="U11" s="191"/>
    </row>
    <row r="12" spans="1:21" ht="15">
      <c r="A12" s="179" t="s">
        <v>115</v>
      </c>
      <c r="B12" s="45">
        <f>('Inputs-Separate'!$G$13+'Inputs-Separate'!$G$14)*((1-B4)*'Inputs-Separate'!$G$3)</f>
        <v>3008.793009942754</v>
      </c>
      <c r="C12" s="14">
        <f>('Inputs-Consolidated'!$G$14+'Inputs-Consolidated'!$G$13)*((1-B4)*'Inputs-Consolidated'!$G$3)</f>
        <v>3008.793009942754</v>
      </c>
      <c r="D12" s="154">
        <f>('Inputs-Buy Pork'!$G$14+'Inputs-Buy Pork'!$G$13)*((1-B4)*'Inputs-Buy Pork'!$G$3)</f>
        <v>3008.793009942754</v>
      </c>
      <c r="E12" s="185">
        <f>('Inputs-Buy Beef'!$G$15)*(1-B4)*'Inputs-Buy Beef'!$G$3</f>
        <v>811.1979719999999</v>
      </c>
      <c r="F12" s="45">
        <f>('Inputs-Separate'!$G$13+'Inputs-Separate'!$G$14)*((1-F4)*'Inputs-Separate'!$G$3)</f>
        <v>2407.0344079542033</v>
      </c>
      <c r="G12" s="14">
        <f>('Inputs-Consolidated'!$G$14+'Inputs-Consolidated'!$G$13)*((1-F4)*'Inputs-Consolidated'!$G$3)</f>
        <v>2407.0344079542033</v>
      </c>
      <c r="H12" s="154">
        <f>('Inputs-Buy Pork'!$G$14+'Inputs-Buy Pork'!$G$13)*((1-F4)*'Inputs-Buy Pork'!$G$3)</f>
        <v>2407.0344079542033</v>
      </c>
      <c r="I12" s="185">
        <f>('Inputs-Buy Beef'!$G$15)*(1-F4)*'Inputs-Buy Beef'!$G$3</f>
        <v>648.9583776</v>
      </c>
      <c r="J12" s="45">
        <f>('Inputs-Separate'!$G$13+'Inputs-Separate'!$G$14)*((1-J4)*'Inputs-Separate'!$G$3)</f>
        <v>1805.2758059656524</v>
      </c>
      <c r="K12" s="14">
        <f>('Inputs-Consolidated'!$G$14+'Inputs-Consolidated'!$G$13)*((1-J4)*'Inputs-Consolidated'!$G$3)</f>
        <v>1805.2758059656524</v>
      </c>
      <c r="L12" s="154">
        <f>('Inputs-Buy Pork'!$G$14+'Inputs-Buy Pork'!$G$13)*((1-J4)*'Inputs-Buy Pork'!$G$3)</f>
        <v>1805.2758059656524</v>
      </c>
      <c r="M12" s="185">
        <f>('Inputs-Buy Beef'!$G$15)*(1-J4)*'Inputs-Buy Beef'!$G$3</f>
        <v>486.71878319999996</v>
      </c>
      <c r="N12" s="45">
        <f>('Inputs-Separate'!$G$13+'Inputs-Separate'!$G$14)*((1-N4)*'Inputs-Separate'!$G$3)</f>
        <v>1203.5172039771016</v>
      </c>
      <c r="O12" s="14">
        <f>('Inputs-Consolidated'!$G$14+'Inputs-Consolidated'!$G$13)*((1-N4)*'Inputs-Consolidated'!$G$3)</f>
        <v>1203.5172039771016</v>
      </c>
      <c r="P12" s="154">
        <f>('Inputs-Buy Pork'!$G$14+'Inputs-Buy Pork'!$G$13)*((1-N4)*'Inputs-Buy Pork'!$G$3)</f>
        <v>1203.5172039771016</v>
      </c>
      <c r="Q12" s="185">
        <f>('Inputs-Buy Beef'!$G$15)*(1-N4)*'Inputs-Buy Beef'!$G$3</f>
        <v>324.4791888</v>
      </c>
      <c r="R12" s="45">
        <f>('Inputs-Separate'!$G$13+'Inputs-Separate'!$G$14)*((1-R4)*'Inputs-Separate'!$G$3)</f>
        <v>601.7586019885507</v>
      </c>
      <c r="S12" s="14">
        <f>('Inputs-Consolidated'!$G$14+'Inputs-Consolidated'!$G$13)*((1-R4)*'Inputs-Consolidated'!$G$3)</f>
        <v>601.7586019885507</v>
      </c>
      <c r="T12" s="154">
        <f>('Inputs-Buy Pork'!$G$14+'Inputs-Buy Pork'!$G$13)*((1-R4)*'Inputs-Buy Pork'!$G$3)</f>
        <v>601.7586019885507</v>
      </c>
      <c r="U12" s="185">
        <f>('Inputs-Buy Beef'!$G$15)*(1-R4)*'Inputs-Buy Beef'!$G$3</f>
        <v>162.23959439999996</v>
      </c>
    </row>
    <row r="13" spans="1:21" ht="15">
      <c r="A13" s="178" t="s">
        <v>93</v>
      </c>
      <c r="B13" s="110">
        <f>('Inputs-Separate'!$G$15+'Inputs-Separate'!$G$16)*(1-B4)*'Inputs-Separate'!$G$3</f>
        <v>1263.914946841776</v>
      </c>
      <c r="C13" s="111">
        <f>('Inputs-Consolidated'!$G$16+'Inputs-Consolidated'!$G$15)*(1-B4)*'Inputs-Consolidated'!$G$3</f>
        <v>1263.914946841776</v>
      </c>
      <c r="D13" s="187">
        <f>('Inputs-Buy Pork'!$G$15)*(1-B4)*'Inputs-Buy Pork'!$G$3</f>
        <v>811.2</v>
      </c>
      <c r="E13" s="192">
        <f>('Inputs-Buy Beef'!$G$14+'Inputs-Buy Beef'!$G$13)*((1-B4)*'Inputs-Buy Beef'!$G$3)</f>
        <v>1263.9117870544087</v>
      </c>
      <c r="F13" s="110">
        <f>('Inputs-Separate'!$G$15+'Inputs-Separate'!$G$16)*(1-F4)*'Inputs-Separate'!$G$3</f>
        <v>1011.1319574734209</v>
      </c>
      <c r="G13" s="111">
        <f>('Inputs-Consolidated'!$G$16+'Inputs-Consolidated'!$G$15)*(1-F4)*'Inputs-Consolidated'!$G$3</f>
        <v>1011.1319574734209</v>
      </c>
      <c r="H13" s="187">
        <f>('Inputs-Buy Pork'!$G$15)*(1-F4)*'Inputs-Buy Pork'!$G$3</f>
        <v>648.96</v>
      </c>
      <c r="I13" s="192">
        <f>('Inputs-Buy Beef'!$G$14+'Inputs-Buy Beef'!$G$13)*((1-F4)*'Inputs-Buy Beef'!$G$3)</f>
        <v>1011.129429643527</v>
      </c>
      <c r="J13" s="110">
        <f>('Inputs-Separate'!$G$15+'Inputs-Separate'!$G$16)*(1-J4)*'Inputs-Separate'!$G$3</f>
        <v>758.3489681050656</v>
      </c>
      <c r="K13" s="111">
        <f>('Inputs-Consolidated'!$G$16+'Inputs-Consolidated'!$G$15)*(1-J4)*'Inputs-Consolidated'!$G$3</f>
        <v>758.3489681050656</v>
      </c>
      <c r="L13" s="187">
        <f>('Inputs-Buy Pork'!$G$15)*(1-J4)*'Inputs-Buy Pork'!$G$3</f>
        <v>486.72</v>
      </c>
      <c r="M13" s="192">
        <f>('Inputs-Buy Beef'!$G$14+'Inputs-Buy Beef'!$G$13)*((1-J4)*'Inputs-Buy Beef'!$G$3)</f>
        <v>758.3470722326452</v>
      </c>
      <c r="N13" s="110">
        <f>('Inputs-Separate'!$G$15+'Inputs-Separate'!$G$16)*(1-N4)*'Inputs-Separate'!$G$3</f>
        <v>505.56597873671046</v>
      </c>
      <c r="O13" s="111">
        <f>('Inputs-Consolidated'!$G$16+'Inputs-Consolidated'!$G$15)*(1-N4)*'Inputs-Consolidated'!$G$3</f>
        <v>505.56597873671046</v>
      </c>
      <c r="P13" s="187">
        <f>('Inputs-Buy Pork'!$G$15)*(1-N4)*'Inputs-Buy Pork'!$G$3</f>
        <v>324.48</v>
      </c>
      <c r="Q13" s="192">
        <f>('Inputs-Buy Beef'!$G$14+'Inputs-Buy Beef'!$G$13)*((1-N4)*'Inputs-Buy Beef'!$G$3)</f>
        <v>505.5647148217635</v>
      </c>
      <c r="R13" s="110">
        <f>('Inputs-Separate'!$G$15+'Inputs-Separate'!$G$16)*(1-R4)*'Inputs-Separate'!$G$3</f>
        <v>252.78298936835515</v>
      </c>
      <c r="S13" s="111">
        <f>('Inputs-Consolidated'!$G$16+'Inputs-Consolidated'!$G$15)*(1-R4)*'Inputs-Consolidated'!$G$3</f>
        <v>252.78298936835515</v>
      </c>
      <c r="T13" s="187">
        <f>('Inputs-Buy Pork'!$G$15)*(1-R4)*'Inputs-Buy Pork'!$G$3</f>
        <v>162.23999999999998</v>
      </c>
      <c r="U13" s="192">
        <f>('Inputs-Buy Beef'!$G$14+'Inputs-Buy Beef'!$G$13)*((1-R4)*'Inputs-Buy Beef'!$G$3)</f>
        <v>252.7823574108817</v>
      </c>
    </row>
    <row r="14" spans="1:21" ht="15">
      <c r="A14" s="179" t="s">
        <v>157</v>
      </c>
      <c r="B14" s="45">
        <f>('Inputs-Separate'!$G$18+'Inputs-Separate'!$G$19+'Inputs-Separate'!$G$20)*((1-B4)*'Inputs-Separate'!$G$3)</f>
        <v>609.6</v>
      </c>
      <c r="C14" s="112">
        <f>('Inputs-Consolidated'!$G$18+'Inputs-Consolidated'!$G$19+'Inputs-Consolidated'!$G$20)*((1-B4)*'Inputs-Consolidated'!$G$3)</f>
        <v>609.6</v>
      </c>
      <c r="D14" s="154">
        <f>('Inputs-Buy Pork'!$G$18+'Inputs-Buy Pork'!$G$19+'Inputs-Buy Pork'!$G$17)*((1-B4)*'Inputs-Buy Pork'!$G$3)</f>
        <v>609.6</v>
      </c>
      <c r="E14" s="185">
        <f>('Inputs-Buy Beef'!$G$18+'Inputs-Buy Beef'!$G$19+'Inputs-Buy Beef'!$G$17)*((1-C4)*'Inputs-Buy Beef'!$G$3)</f>
        <v>609.5984759999999</v>
      </c>
      <c r="F14" s="45">
        <f>('Inputs-Separate'!$G$18+'Inputs-Separate'!$G$19+'Inputs-Separate'!$G$20)*((1-F4)*'Inputs-Separate'!$G$3)</f>
        <v>487.68</v>
      </c>
      <c r="G14" s="112">
        <f>('Inputs-Consolidated'!$G$18+'Inputs-Consolidated'!$G$19+'Inputs-Consolidated'!$G$20)*((1-F4)*'Inputs-Consolidated'!$G$3)</f>
        <v>487.68</v>
      </c>
      <c r="H14" s="154">
        <f>('Inputs-Buy Pork'!$G$18+'Inputs-Buy Pork'!$G$19+'Inputs-Buy Pork'!$G$17)*((1-F4)*'Inputs-Buy Pork'!$G$3)</f>
        <v>487.68</v>
      </c>
      <c r="I14" s="185">
        <f>('Inputs-Buy Beef'!$G$18+'Inputs-Buy Beef'!$G$19+'Inputs-Buy Beef'!$G$17)*((1-F4)*'Inputs-Buy Beef'!$G$3)</f>
        <v>487.67878079999997</v>
      </c>
      <c r="J14" s="45">
        <f>('Inputs-Separate'!$G$18+'Inputs-Separate'!$G$19+'Inputs-Separate'!$G$20)*((1-J4)*'Inputs-Separate'!$G$3)</f>
        <v>365.76</v>
      </c>
      <c r="K14" s="112">
        <f>('Inputs-Consolidated'!$G$18+'Inputs-Consolidated'!$G$19+'Inputs-Consolidated'!$G$20)*((1-J4)*'Inputs-Consolidated'!$G$3)</f>
        <v>365.76</v>
      </c>
      <c r="L14" s="154">
        <f>('Inputs-Buy Pork'!$G$18+'Inputs-Buy Pork'!$G$19+'Inputs-Buy Pork'!$G$17)*((1-J4)*'Inputs-Buy Pork'!$G$3)</f>
        <v>365.76</v>
      </c>
      <c r="M14" s="185">
        <f>('Inputs-Buy Beef'!$G$18+'Inputs-Buy Beef'!$G$19+'Inputs-Buy Beef'!$G$17)*((1-J4)*'Inputs-Buy Beef'!$G$3)</f>
        <v>365.75908559999993</v>
      </c>
      <c r="N14" s="45">
        <f>('Inputs-Separate'!$G$18+'Inputs-Separate'!$G$19+'Inputs-Separate'!$G$20)*((1-N4)*'Inputs-Separate'!$G$3)</f>
        <v>243.84</v>
      </c>
      <c r="O14" s="112">
        <f>('Inputs-Consolidated'!$G$18+'Inputs-Consolidated'!$G$19+'Inputs-Consolidated'!$G$20)*((1-N4)*'Inputs-Consolidated'!$G$3)</f>
        <v>243.84</v>
      </c>
      <c r="P14" s="154">
        <f>('Inputs-Buy Pork'!$G$18+'Inputs-Buy Pork'!$G$19+'Inputs-Buy Pork'!$G$17)*((1-N4)*'Inputs-Buy Pork'!$G$3)</f>
        <v>243.84</v>
      </c>
      <c r="Q14" s="185">
        <f>('Inputs-Buy Beef'!$G$18+'Inputs-Buy Beef'!$G$19+'Inputs-Buy Beef'!$G$17)*((1-N4)*'Inputs-Buy Beef'!$G$3)</f>
        <v>243.83939039999998</v>
      </c>
      <c r="R14" s="45">
        <f>('Inputs-Separate'!$G$18+'Inputs-Separate'!$G$19+'Inputs-Separate'!$G$20)*((1-R4)*'Inputs-Separate'!$G$3)</f>
        <v>121.91999999999997</v>
      </c>
      <c r="S14" s="112">
        <f>('Inputs-Consolidated'!$G$18+'Inputs-Consolidated'!$G$19+'Inputs-Consolidated'!$G$20)*((1-R4)*'Inputs-Consolidated'!$G$3)</f>
        <v>121.91999999999997</v>
      </c>
      <c r="T14" s="154">
        <f>('Inputs-Buy Pork'!$G$18+'Inputs-Buy Pork'!$G$19+'Inputs-Buy Pork'!$G$17)*((1-R4)*'Inputs-Buy Pork'!$G$3)</f>
        <v>121.91999999999997</v>
      </c>
      <c r="U14" s="185">
        <f>('Inputs-Buy Beef'!$G$18+'Inputs-Buy Beef'!$G$19+'Inputs-Buy Beef'!$G$17)*((1-R4)*'Inputs-Buy Beef'!$G$3)</f>
        <v>121.91969519999996</v>
      </c>
    </row>
    <row r="15" spans="1:21" ht="15">
      <c r="A15" s="179" t="s">
        <v>39</v>
      </c>
      <c r="B15" s="45">
        <f>'Inputs-Separate'!$G$22*(1-B4)*('Inputs-Separate'!$G$7)</f>
        <v>960</v>
      </c>
      <c r="C15" s="14">
        <f>'Inputs-Consolidated'!$G$22*(1-B4)*('Inputs-Consolidated'!$G$7)</f>
        <v>960</v>
      </c>
      <c r="D15" s="154">
        <f>'Inputs-Buy Pork'!$G$21*(1-B4)*('Inputs-Buy Pork'!$G$7)</f>
        <v>960</v>
      </c>
      <c r="E15" s="185">
        <f>'Inputs-Buy Beef'!$G$21*(1-B4)*('Inputs-Buy Beef'!$G$7)</f>
        <v>959.9975999999999</v>
      </c>
      <c r="F15" s="45">
        <f>'Inputs-Separate'!$G$22*(1-F4)*('Inputs-Separate'!$G$7)</f>
        <v>768</v>
      </c>
      <c r="G15" s="14">
        <f>'Inputs-Consolidated'!$G$22*(1-F4)*('Inputs-Consolidated'!$G$7)</f>
        <v>768</v>
      </c>
      <c r="H15" s="154">
        <f>'Inputs-Buy Pork'!$G$21*(1-F4)*('Inputs-Buy Pork'!$G$7)</f>
        <v>768</v>
      </c>
      <c r="I15" s="185">
        <f>'Inputs-Buy Beef'!$G$21*(1-F4)*('Inputs-Buy Beef'!$G$7)</f>
        <v>767.99808</v>
      </c>
      <c r="J15" s="45">
        <f>'Inputs-Separate'!$G$22*(1-J4)*('Inputs-Separate'!$G$7)</f>
        <v>576</v>
      </c>
      <c r="K15" s="14">
        <f>'Inputs-Consolidated'!$G$22*(1-J4)*('Inputs-Consolidated'!$G$7)</f>
        <v>576</v>
      </c>
      <c r="L15" s="154">
        <f>'Inputs-Buy Pork'!$G$21*(1-J4)*('Inputs-Buy Pork'!$G$7)</f>
        <v>576</v>
      </c>
      <c r="M15" s="185">
        <f>'Inputs-Buy Beef'!$G$21*(1-J4)*('Inputs-Buy Beef'!$G$7)</f>
        <v>575.9985599999999</v>
      </c>
      <c r="N15" s="45">
        <f>'Inputs-Separate'!$G$22*(1-N4)*('Inputs-Separate'!$G$7)</f>
        <v>384</v>
      </c>
      <c r="O15" s="14">
        <f>'Inputs-Consolidated'!$G$22*(1-N4)*('Inputs-Consolidated'!$G$7)</f>
        <v>384</v>
      </c>
      <c r="P15" s="154">
        <f>'Inputs-Buy Pork'!$G$21*(1-N4)*('Inputs-Buy Pork'!$G$7)</f>
        <v>384</v>
      </c>
      <c r="Q15" s="185">
        <f>'Inputs-Buy Beef'!$G$21*(1-N4)*('Inputs-Buy Beef'!$G$7)</f>
        <v>383.99904</v>
      </c>
      <c r="R15" s="45">
        <f>'Inputs-Separate'!$G$22*(1-R4)*('Inputs-Separate'!$G$7)</f>
        <v>191.99999999999994</v>
      </c>
      <c r="S15" s="14">
        <f>'Inputs-Consolidated'!$G$22*(1-R4)*('Inputs-Consolidated'!$G$7)</f>
        <v>191.99999999999994</v>
      </c>
      <c r="T15" s="154">
        <f>'Inputs-Buy Pork'!$G$21*(1-R4)*('Inputs-Buy Pork'!$G$7)</f>
        <v>191.99999999999994</v>
      </c>
      <c r="U15" s="185">
        <f>'Inputs-Buy Beef'!$G$21*(1-R4)*('Inputs-Buy Beef'!$G$7)</f>
        <v>191.99951999999993</v>
      </c>
    </row>
    <row r="16" spans="1:21" ht="15">
      <c r="A16" s="179" t="s">
        <v>139</v>
      </c>
      <c r="B16" s="45">
        <f>('Inputs-Separate'!$G$17*(1-B4)*('Inputs-Separate'!$G$3))</f>
        <v>285.3590239154066</v>
      </c>
      <c r="C16" s="14">
        <f>('Inputs-Consolidated'!$G$17*(1-B4)*('Inputs-Consolidated'!$G$3))</f>
        <v>177.28181458525648</v>
      </c>
      <c r="D16" s="154">
        <f>('Inputs-Buy Pork'!$G$16*(1-B4)*('Inputs-Buy Pork'!$G$3))*('Inputs-Buy Pork'!$B$19/('Inputs-Buy Pork'!$B$19+'Inputs-Buy Pork'!$B$20))</f>
        <v>126.42844230189816</v>
      </c>
      <c r="E16" s="185">
        <f>('Inputs-Buy Beef'!$G$16*(1-B4)*('Inputs-Buy Beef'!$G$3))*('Inputs-Buy Beef'!$B$19/('Inputs-Buy Beef'!$B$19+'Inputs-Buy Beef'!$B$20))</f>
        <v>105.9534561913696</v>
      </c>
      <c r="F16" s="45">
        <f>('Inputs-Separate'!$G$17*(1-F4)*('Inputs-Separate'!$G$3))</f>
        <v>228.2872191323253</v>
      </c>
      <c r="G16" s="14">
        <f>('Inputs-Consolidated'!$G$17*(1-F4)*('Inputs-Consolidated'!$G$3))</f>
        <v>141.82545166820518</v>
      </c>
      <c r="H16" s="154">
        <f>('Inputs-Buy Pork'!$G$16*(1-F4)*('Inputs-Buy Pork'!$G$3))*('Inputs-Buy Pork'!$B$19/('Inputs-Buy Pork'!$B$19+'Inputs-Buy Pork'!$B$20))</f>
        <v>101.14275384151853</v>
      </c>
      <c r="I16" s="185">
        <f>('Inputs-Buy Beef'!$G$16*(1-F4)*('Inputs-Buy Beef'!$G$3))*('Inputs-Buy Beef'!$B$19/('Inputs-Buy Beef'!$B$19+'Inputs-Buy Beef'!$B$20))</f>
        <v>84.76276495309567</v>
      </c>
      <c r="J16" s="45">
        <f>('Inputs-Separate'!$G$17*(1-J4)*('Inputs-Separate'!$G$3))</f>
        <v>171.21541434924396</v>
      </c>
      <c r="K16" s="14">
        <f>('Inputs-Consolidated'!$G$17*(1-J4)*('Inputs-Consolidated'!$G$3))</f>
        <v>106.36908875115388</v>
      </c>
      <c r="L16" s="154">
        <f>('Inputs-Buy Pork'!$G$16*(1-J4)*('Inputs-Buy Pork'!$G$3))*('Inputs-Buy Pork'!$B$19/('Inputs-Buy Pork'!$B$19+'Inputs-Buy Pork'!$B$20))</f>
        <v>75.85706538113891</v>
      </c>
      <c r="M16" s="185">
        <f>('Inputs-Buy Beef'!$G$16*(1-J4)*('Inputs-Buy Beef'!$G$3))*('Inputs-Buy Beef'!$B$19/('Inputs-Buy Beef'!$B$19+'Inputs-Buy Beef'!$B$20))</f>
        <v>63.57207371482175</v>
      </c>
      <c r="N16" s="45">
        <f>('Inputs-Separate'!$G$17*(1-N4)*('Inputs-Separate'!$G$3))</f>
        <v>114.14360956616265</v>
      </c>
      <c r="O16" s="14">
        <f>('Inputs-Consolidated'!$G$17*(1-N4)*('Inputs-Consolidated'!$G$3))</f>
        <v>70.91272583410259</v>
      </c>
      <c r="P16" s="154">
        <f>('Inputs-Buy Pork'!$G$16*(1-N4)*('Inputs-Buy Pork'!$G$3))*('Inputs-Buy Pork'!$B$19/('Inputs-Buy Pork'!$B$19+'Inputs-Buy Pork'!$B$20))</f>
        <v>50.57137692075926</v>
      </c>
      <c r="Q16" s="185">
        <f>('Inputs-Buy Beef'!$G$16*(1-N4)*('Inputs-Buy Beef'!$G$3))*('Inputs-Buy Beef'!$B$19/('Inputs-Buy Beef'!$B$19+'Inputs-Buy Beef'!$B$20))</f>
        <v>42.381382476547834</v>
      </c>
      <c r="R16" s="45">
        <f>('Inputs-Separate'!$G$17*(1-R4)*('Inputs-Separate'!$G$3))</f>
        <v>57.07180478308131</v>
      </c>
      <c r="S16" s="14">
        <f>('Inputs-Consolidated'!$G$17*(1-R4)*('Inputs-Consolidated'!$G$3))</f>
        <v>35.45636291705129</v>
      </c>
      <c r="T16" s="154">
        <f>('Inputs-Buy Pork'!$G$16*(1-R4)*('Inputs-Buy Pork'!$G$3))*('Inputs-Buy Pork'!$B$19/('Inputs-Buy Pork'!$B$19+'Inputs-Buy Pork'!$B$20))</f>
        <v>25.285688460379628</v>
      </c>
      <c r="U16" s="185">
        <f>('Inputs-Buy Beef'!$G$16*(1-R4)*('Inputs-Buy Beef'!$G$3))*('Inputs-Buy Beef'!$B$19/('Inputs-Buy Beef'!$B$19+'Inputs-Buy Beef'!$B$20))</f>
        <v>21.190691238273914</v>
      </c>
    </row>
    <row r="17" spans="1:21" ht="15">
      <c r="A17" s="179" t="s">
        <v>160</v>
      </c>
      <c r="B17" s="45">
        <f>'Inputs-Separate'!$G$31*'Inputs-Separate'!$B$44*'Inputs-Separate'!$B$43</f>
        <v>1280</v>
      </c>
      <c r="C17" s="14">
        <f>'Inputs-Consolidated'!$G$31*'Inputs-Consolidated'!$B$42*'Inputs-Consolidated'!$B$43</f>
        <v>1280</v>
      </c>
      <c r="D17" s="154">
        <f>'Inputs-Buy Pork'!$G$30*'Inputs-Buy Pork'!$B$39*'Inputs-Buy Pork'!$B$40</f>
        <v>1280</v>
      </c>
      <c r="E17" s="185">
        <f>'Inputs-Buy Beef'!$G$30*'Inputs-Buy Beef'!$B$40*'Inputs-Buy Beef'!$B$41</f>
        <v>1279.9968</v>
      </c>
      <c r="F17" s="45">
        <f>'Inputs-Separate'!$G$31*'Inputs-Separate'!$B$44*'Inputs-Separate'!$B$43</f>
        <v>1280</v>
      </c>
      <c r="G17" s="14">
        <f>'Inputs-Consolidated'!$G$31*'Inputs-Consolidated'!$B$42*'Inputs-Consolidated'!$B$43</f>
        <v>1280</v>
      </c>
      <c r="H17" s="154">
        <f>'Inputs-Buy Pork'!$G$30*'Inputs-Buy Pork'!$B$39*'Inputs-Buy Pork'!$B$40</f>
        <v>1280</v>
      </c>
      <c r="I17" s="185">
        <f>'Inputs-Buy Beef'!$G$30*'Inputs-Buy Beef'!$B$40*'Inputs-Buy Beef'!$B$41</f>
        <v>1279.9968</v>
      </c>
      <c r="J17" s="45">
        <f>'Inputs-Separate'!$G$31*'Inputs-Separate'!$B$44*'Inputs-Separate'!$B$43</f>
        <v>1280</v>
      </c>
      <c r="K17" s="14">
        <f>'Inputs-Consolidated'!$G$31*'Inputs-Consolidated'!$B$42*'Inputs-Consolidated'!$B$43</f>
        <v>1280</v>
      </c>
      <c r="L17" s="154">
        <f>'Inputs-Buy Pork'!$G$30*'Inputs-Buy Pork'!$B$39*'Inputs-Buy Pork'!$B$40</f>
        <v>1280</v>
      </c>
      <c r="M17" s="185">
        <f>'Inputs-Buy Beef'!$G$30*'Inputs-Buy Beef'!$B$40*'Inputs-Buy Beef'!$B$41</f>
        <v>1279.9968</v>
      </c>
      <c r="N17" s="45">
        <f>'Inputs-Separate'!$G$31*'Inputs-Separate'!$B$44*'Inputs-Separate'!$B$43</f>
        <v>1280</v>
      </c>
      <c r="O17" s="14">
        <f>'Inputs-Consolidated'!$G$31*'Inputs-Consolidated'!$B$42*'Inputs-Consolidated'!$B$43</f>
        <v>1280</v>
      </c>
      <c r="P17" s="154">
        <f>'Inputs-Buy Pork'!$G$30*'Inputs-Buy Pork'!$B$39*'Inputs-Buy Pork'!$B$40</f>
        <v>1280</v>
      </c>
      <c r="Q17" s="185">
        <f>'Inputs-Buy Beef'!$G$30*'Inputs-Buy Beef'!$B$40*'Inputs-Buy Beef'!$B$41</f>
        <v>1279.9968</v>
      </c>
      <c r="R17" s="45">
        <f>'Inputs-Separate'!$G$31*'Inputs-Separate'!$B$44*'Inputs-Separate'!$B$43</f>
        <v>1280</v>
      </c>
      <c r="S17" s="14">
        <f>'Inputs-Consolidated'!$G$31*'Inputs-Consolidated'!$B$42*'Inputs-Consolidated'!$B$43</f>
        <v>1280</v>
      </c>
      <c r="T17" s="154">
        <f>'Inputs-Buy Pork'!$G$30*'Inputs-Buy Pork'!$B$39*'Inputs-Buy Pork'!$B$40</f>
        <v>1280</v>
      </c>
      <c r="U17" s="185">
        <f>'Inputs-Buy Beef'!$G$30*'Inputs-Buy Beef'!$B$40*'Inputs-Buy Beef'!$B$41</f>
        <v>1279.9968</v>
      </c>
    </row>
    <row r="18" spans="1:21" ht="15.75" thickBot="1">
      <c r="A18" s="179" t="s">
        <v>40</v>
      </c>
      <c r="B18" s="46">
        <f>'Inputs-Separate'!$G$21*(1-B4)*'Inputs-Separate'!$G$3</f>
        <v>0</v>
      </c>
      <c r="C18" s="39">
        <f>'Inputs-Consolidated'!$G$21*(1-B4)*'Inputs-Consolidated'!$G$3</f>
        <v>0</v>
      </c>
      <c r="D18" s="155">
        <f>'Inputs-Buy Pork'!$G$20*(1-B4)*'Inputs-Buy Pork'!$G$3</f>
        <v>0</v>
      </c>
      <c r="E18" s="156">
        <f>'Inputs-Buy Beef'!$G$20*(1-B4)*'Inputs-Buy Beef'!$G$3</f>
        <v>0</v>
      </c>
      <c r="F18" s="46">
        <f>'Inputs-Separate'!$G$21*(1-F4)*'Inputs-Separate'!$G$3</f>
        <v>0</v>
      </c>
      <c r="G18" s="39">
        <f>'Inputs-Consolidated'!$G$21*(1-F4)*'Inputs-Consolidated'!$G$3</f>
        <v>0</v>
      </c>
      <c r="H18" s="155">
        <f>'Inputs-Buy Pork'!$G$20*(1-F4)*'Inputs-Buy Pork'!$G$3</f>
        <v>0</v>
      </c>
      <c r="I18" s="156">
        <f>'Inputs-Buy Beef'!$G$20*(1-F4)*'Inputs-Buy Beef'!$G$3</f>
        <v>0</v>
      </c>
      <c r="J18" s="46">
        <f>'Inputs-Separate'!$G$21*(1-J4)*'Inputs-Separate'!$G$3</f>
        <v>0</v>
      </c>
      <c r="K18" s="39">
        <f>'Inputs-Consolidated'!$G$21*(1-J4)*'Inputs-Consolidated'!$G$3</f>
        <v>0</v>
      </c>
      <c r="L18" s="155">
        <f>'Inputs-Buy Pork'!$G$20*(1-J4)*'Inputs-Buy Pork'!$G$3</f>
        <v>0</v>
      </c>
      <c r="M18" s="156">
        <f>'Inputs-Buy Beef'!$G$20*(1-J4)*'Inputs-Buy Beef'!$G$3</f>
        <v>0</v>
      </c>
      <c r="N18" s="46">
        <f>'Inputs-Separate'!$G$21*(1-N4)*'Inputs-Separate'!$G$3</f>
        <v>0</v>
      </c>
      <c r="O18" s="39">
        <f>'Inputs-Consolidated'!$G$21*(1-N4)*'Inputs-Consolidated'!$G$3</f>
        <v>0</v>
      </c>
      <c r="P18" s="155">
        <f>'Inputs-Buy Pork'!$G$20*(1-N4)*'Inputs-Buy Pork'!$G$3</f>
        <v>0</v>
      </c>
      <c r="Q18" s="156">
        <f>'Inputs-Buy Beef'!$G$20*(1-N4)*'Inputs-Buy Beef'!$G$3</f>
        <v>0</v>
      </c>
      <c r="R18" s="46">
        <f>'Inputs-Separate'!$G$21*(1-R4)*'Inputs-Separate'!$G$3</f>
        <v>0</v>
      </c>
      <c r="S18" s="39">
        <f>'Inputs-Consolidated'!$G$21*(1-R4)*'Inputs-Consolidated'!$G$3</f>
        <v>0</v>
      </c>
      <c r="T18" s="155">
        <f>'Inputs-Buy Pork'!$G$20*(1-R4)*'Inputs-Buy Pork'!$G$3</f>
        <v>0</v>
      </c>
      <c r="U18" s="156">
        <f>'Inputs-Buy Beef'!$G$20*(1-R4)*'Inputs-Buy Beef'!$G$3</f>
        <v>0</v>
      </c>
    </row>
    <row r="19" spans="1:21" ht="15">
      <c r="A19" s="178" t="s">
        <v>3</v>
      </c>
      <c r="B19" s="106">
        <f aca="true" t="shared" si="1" ref="B19:T19">SUM(B12:B18)</f>
        <v>7407.666980699937</v>
      </c>
      <c r="C19" s="107">
        <f t="shared" si="1"/>
        <v>7299.589771369787</v>
      </c>
      <c r="D19" s="188">
        <f t="shared" si="1"/>
        <v>6796.021452244652</v>
      </c>
      <c r="E19" s="196">
        <f>SUM(E12:E18)</f>
        <v>5030.656091245778</v>
      </c>
      <c r="F19" s="106">
        <f t="shared" si="1"/>
        <v>6182.133584559949</v>
      </c>
      <c r="G19" s="107">
        <f t="shared" si="1"/>
        <v>6095.671817095829</v>
      </c>
      <c r="H19" s="188">
        <f t="shared" si="1"/>
        <v>5692.817161795721</v>
      </c>
      <c r="I19" s="196">
        <f>SUM(I12:I18)</f>
        <v>4280.524232996622</v>
      </c>
      <c r="J19" s="106">
        <f t="shared" si="1"/>
        <v>4956.600188419961</v>
      </c>
      <c r="K19" s="107">
        <f t="shared" si="1"/>
        <v>4891.753862821872</v>
      </c>
      <c r="L19" s="188">
        <f t="shared" si="1"/>
        <v>4589.6128713467915</v>
      </c>
      <c r="M19" s="196">
        <f>SUM(M12:M18)</f>
        <v>3530.3923747474664</v>
      </c>
      <c r="N19" s="106">
        <f t="shared" si="1"/>
        <v>3731.0667922799744</v>
      </c>
      <c r="O19" s="107">
        <f t="shared" si="1"/>
        <v>3687.8359085479146</v>
      </c>
      <c r="P19" s="188">
        <f t="shared" si="1"/>
        <v>3486.4085808978607</v>
      </c>
      <c r="Q19" s="196">
        <f>SUM(Q12:Q18)</f>
        <v>2780.260516498311</v>
      </c>
      <c r="R19" s="106">
        <f t="shared" si="1"/>
        <v>2505.533396139987</v>
      </c>
      <c r="S19" s="107">
        <f t="shared" si="1"/>
        <v>2483.917954273957</v>
      </c>
      <c r="T19" s="188">
        <f t="shared" si="1"/>
        <v>2383.20429044893</v>
      </c>
      <c r="U19" s="196">
        <f>SUM(U12:U18)</f>
        <v>2030.1286582491553</v>
      </c>
    </row>
    <row r="20" spans="1:21" ht="15">
      <c r="A20" s="179"/>
      <c r="B20" s="45"/>
      <c r="C20" s="14"/>
      <c r="D20" s="154"/>
      <c r="E20" s="185"/>
      <c r="F20" s="45"/>
      <c r="G20" s="14"/>
      <c r="H20" s="154"/>
      <c r="I20" s="185"/>
      <c r="J20" s="45"/>
      <c r="K20" s="14"/>
      <c r="L20" s="154"/>
      <c r="M20" s="185"/>
      <c r="N20" s="45"/>
      <c r="O20" s="14"/>
      <c r="P20" s="154"/>
      <c r="Q20" s="185"/>
      <c r="R20" s="45"/>
      <c r="S20" s="14"/>
      <c r="T20" s="154"/>
      <c r="U20" s="185"/>
    </row>
    <row r="21" spans="1:21" ht="15.75" thickBot="1">
      <c r="A21" s="178" t="s">
        <v>4</v>
      </c>
      <c r="B21" s="113">
        <f aca="true" t="shared" si="2" ref="B21:T21">B9-B19</f>
        <v>3152.333019300063</v>
      </c>
      <c r="C21" s="114">
        <f t="shared" si="2"/>
        <v>3260.410228630213</v>
      </c>
      <c r="D21" s="189">
        <f t="shared" si="2"/>
        <v>3763.978547755348</v>
      </c>
      <c r="E21" s="193">
        <f>E9-E19</f>
        <v>5529.317508754221</v>
      </c>
      <c r="F21" s="113">
        <f t="shared" si="2"/>
        <v>2265.8664154400512</v>
      </c>
      <c r="G21" s="114">
        <f t="shared" si="2"/>
        <v>2352.3281829041707</v>
      </c>
      <c r="H21" s="189">
        <f t="shared" si="2"/>
        <v>2755.1828382042786</v>
      </c>
      <c r="I21" s="193">
        <f>I9-I19</f>
        <v>4167.454647003378</v>
      </c>
      <c r="J21" s="113">
        <f t="shared" si="2"/>
        <v>1379.3998115800387</v>
      </c>
      <c r="K21" s="114">
        <f t="shared" si="2"/>
        <v>1444.2461371781283</v>
      </c>
      <c r="L21" s="189">
        <f t="shared" si="2"/>
        <v>1746.3871286532085</v>
      </c>
      <c r="M21" s="193">
        <f>M9-M19</f>
        <v>2805.5917852525326</v>
      </c>
      <c r="N21" s="113">
        <f t="shared" si="2"/>
        <v>492.9332077200256</v>
      </c>
      <c r="O21" s="114">
        <f t="shared" si="2"/>
        <v>536.1640914520854</v>
      </c>
      <c r="P21" s="189">
        <f t="shared" si="2"/>
        <v>737.5914191021393</v>
      </c>
      <c r="Q21" s="193">
        <f>Q9-Q19</f>
        <v>1443.7289235016892</v>
      </c>
      <c r="R21" s="113">
        <f t="shared" si="2"/>
        <v>-393.5333961399874</v>
      </c>
      <c r="S21" s="114">
        <f t="shared" si="2"/>
        <v>-371.91795427395755</v>
      </c>
      <c r="T21" s="189">
        <f t="shared" si="2"/>
        <v>-271.20429044893035</v>
      </c>
      <c r="U21" s="193">
        <f>U9-U19</f>
        <v>81.86606175084398</v>
      </c>
    </row>
    <row r="22" spans="1:21" ht="15">
      <c r="A22" s="179"/>
      <c r="B22" s="115"/>
      <c r="C22" s="116"/>
      <c r="D22" s="194"/>
      <c r="E22" s="195"/>
      <c r="F22" s="115"/>
      <c r="G22" s="116"/>
      <c r="H22" s="194"/>
      <c r="I22" s="195"/>
      <c r="J22" s="115"/>
      <c r="K22" s="116"/>
      <c r="L22" s="194"/>
      <c r="M22" s="195"/>
      <c r="N22" s="115"/>
      <c r="O22" s="116"/>
      <c r="P22" s="194"/>
      <c r="Q22" s="195"/>
      <c r="R22" s="115"/>
      <c r="S22" s="116"/>
      <c r="T22" s="194"/>
      <c r="U22" s="195"/>
    </row>
    <row r="23" spans="1:21" ht="15">
      <c r="A23" s="178" t="s">
        <v>5</v>
      </c>
      <c r="B23" s="108"/>
      <c r="C23" s="109"/>
      <c r="D23" s="186"/>
      <c r="E23" s="191"/>
      <c r="F23" s="108"/>
      <c r="G23" s="109"/>
      <c r="H23" s="186"/>
      <c r="I23" s="191"/>
      <c r="J23" s="108"/>
      <c r="K23" s="109"/>
      <c r="L23" s="186"/>
      <c r="M23" s="191"/>
      <c r="N23" s="108"/>
      <c r="O23" s="109"/>
      <c r="P23" s="186"/>
      <c r="Q23" s="191"/>
      <c r="R23" s="108"/>
      <c r="S23" s="109"/>
      <c r="T23" s="186"/>
      <c r="U23" s="191"/>
    </row>
    <row r="24" spans="1:21" ht="15">
      <c r="A24" s="179" t="s">
        <v>6</v>
      </c>
      <c r="B24" s="45"/>
      <c r="C24" s="14"/>
      <c r="D24" s="154"/>
      <c r="E24" s="185"/>
      <c r="F24" s="45"/>
      <c r="G24" s="14"/>
      <c r="H24" s="154"/>
      <c r="I24" s="185"/>
      <c r="J24" s="45"/>
      <c r="K24" s="14"/>
      <c r="L24" s="154"/>
      <c r="M24" s="185"/>
      <c r="N24" s="45"/>
      <c r="O24" s="14"/>
      <c r="P24" s="154"/>
      <c r="Q24" s="185"/>
      <c r="R24" s="45"/>
      <c r="S24" s="14"/>
      <c r="T24" s="154"/>
      <c r="U24" s="185"/>
    </row>
    <row r="25" spans="1:21" ht="15">
      <c r="A25" s="179" t="str">
        <f>"     Advertising"</f>
        <v xml:space="preserve">     Advertising</v>
      </c>
      <c r="B25" s="45">
        <f>IF('Inputs-Separate'!$C$47="Monthly",'Inputs-Separate'!$B$47*12,IF('Inputs-Separate'!$C$47="Daily",'Inputs-Separate'!$B$47*365,IF('Inputs-Separate'!$C$47="Weekly",'Inputs-Separate'!$B$47*52,IF('Inputs-Separate'!$C$47="Annually",'Inputs-Separate'!$B$47*1))))</f>
        <v>200</v>
      </c>
      <c r="C25" s="14">
        <f>IF('Inputs-Consolidated'!$C$46="Monthly",'Inputs-Consolidated'!$B$46*12,IF('Inputs-Consolidated'!$C$46="Daily",'Inputs-Consolidated'!$B$67*365,IF('Inputs-Consolidated'!$C$46="Weekly",'Inputs-Consolidated'!$B$46*52,IF('Inputs-Consolidated'!$C$46="Annually",'Inputs-Consolidated'!$B$46*1))))</f>
        <v>200</v>
      </c>
      <c r="D25" s="154">
        <f>IF('Inputs-Buy Pork'!$C$43="Monthly",'Inputs-Buy Pork'!$B$43*12,IF('Inputs-Buy Pork'!$C$43="Daily",'Inputs-Buy Pork'!$B$43*365,IF('Inputs-Buy Pork'!$C$43="Weekly",'Inputs-Buy Pork'!$B$43*52,IF('Inputs-Buy Pork'!$C$43="Annually",'Inputs-Buy Pork'!$B$43*1))))</f>
        <v>200</v>
      </c>
      <c r="E25" s="185">
        <f>IF('Inputs-Buy Beef'!$C$44="Monthly",'Inputs-Buy Beef'!$B$44*12,IF('Inputs-Buy Beef'!$C$44="Daily",'Inputs-Buy Beef'!$B$44*365,IF('Inputs-Buy Beef'!$C$44="Weekly",'Inputs-Buy Beef'!$B$44*52,IF('Inputs-Buy Beef'!$C$44="Annually",'Inputs-Buy Beef'!$B$44*1))))</f>
        <v>200</v>
      </c>
      <c r="F25" s="45">
        <f>IF('Inputs-Separate'!$C$47="Monthly",'Inputs-Separate'!$B$47*12,IF('Inputs-Separate'!$C$47="Daily",'Inputs-Separate'!$B$47*365,IF('Inputs-Separate'!$C$47="Weekly",'Inputs-Separate'!$B$47*52,IF('Inputs-Separate'!$C$47="Annually",'Inputs-Separate'!$B$47*1))))</f>
        <v>200</v>
      </c>
      <c r="G25" s="14">
        <f>IF('Inputs-Consolidated'!$C$46="Monthly",'Inputs-Consolidated'!$B$46*12,IF('Inputs-Consolidated'!$C$46="Daily",'Inputs-Consolidated'!$B$67*365,IF('Inputs-Consolidated'!$C$46="Weekly",'Inputs-Consolidated'!$B$46*52,IF('Inputs-Consolidated'!$C$46="Annually",'Inputs-Consolidated'!$B$46*1))))</f>
        <v>200</v>
      </c>
      <c r="H25" s="154">
        <f>IF('Inputs-Buy Pork'!$C$43="Monthly",'Inputs-Buy Pork'!$B$43*12,IF('Inputs-Buy Pork'!$C$43="Daily",'Inputs-Buy Pork'!$B$43*365,IF('Inputs-Buy Pork'!$C$43="Weekly",'Inputs-Buy Pork'!$B$43*52,IF('Inputs-Buy Pork'!$C$43="Annually",'Inputs-Buy Pork'!$B$43*1))))</f>
        <v>200</v>
      </c>
      <c r="I25" s="185">
        <f>IF('Inputs-Buy Beef'!$C$44="Monthly",'Inputs-Buy Beef'!$B$44*12,IF('Inputs-Buy Beef'!$C$44="Daily",'Inputs-Buy Beef'!$B$44*365,IF('Inputs-Buy Beef'!$C$44="Weekly",'Inputs-Buy Beef'!$B$44*52,IF('Inputs-Buy Beef'!$C$44="Annually",'Inputs-Buy Beef'!$B$44*1))))</f>
        <v>200</v>
      </c>
      <c r="J25" s="45">
        <f>IF('Inputs-Separate'!$C$47="Monthly",'Inputs-Separate'!$B$47*12,IF('Inputs-Separate'!$C$47="Daily",'Inputs-Separate'!$B$47*365,IF('Inputs-Separate'!$C$47="Weekly",'Inputs-Separate'!$B$47*52,IF('Inputs-Separate'!$C$47="Annually",'Inputs-Separate'!$B$47*1))))</f>
        <v>200</v>
      </c>
      <c r="K25" s="14">
        <f>IF('Inputs-Consolidated'!$C$46="Monthly",'Inputs-Consolidated'!$B$46*12,IF('Inputs-Consolidated'!$C$46="Daily",'Inputs-Consolidated'!$B$67*365,IF('Inputs-Consolidated'!$C$46="Weekly",'Inputs-Consolidated'!$B$46*52,IF('Inputs-Consolidated'!$C$46="Annually",'Inputs-Consolidated'!$B$46*1))))</f>
        <v>200</v>
      </c>
      <c r="L25" s="154">
        <f>IF('Inputs-Buy Pork'!$C$43="Monthly",'Inputs-Buy Pork'!$B$43*12,IF('Inputs-Buy Pork'!$C$43="Daily",'Inputs-Buy Pork'!$B$43*365,IF('Inputs-Buy Pork'!$C$43="Weekly",'Inputs-Buy Pork'!$B$43*52,IF('Inputs-Buy Pork'!$C$43="Annually",'Inputs-Buy Pork'!$B$43*1))))</f>
        <v>200</v>
      </c>
      <c r="M25" s="185">
        <f>IF('Inputs-Buy Beef'!$C$44="Monthly",'Inputs-Buy Beef'!$B$44*12,IF('Inputs-Buy Beef'!$C$44="Daily",'Inputs-Buy Beef'!$B$44*365,IF('Inputs-Buy Beef'!$C$44="Weekly",'Inputs-Buy Beef'!$B$44*52,IF('Inputs-Buy Beef'!$C$44="Annually",'Inputs-Buy Beef'!$B$44*1))))</f>
        <v>200</v>
      </c>
      <c r="N25" s="45">
        <f>IF('Inputs-Separate'!$C$47="Monthly",'Inputs-Separate'!$B$47*12,IF('Inputs-Separate'!$C$47="Daily",'Inputs-Separate'!$B$47*365,IF('Inputs-Separate'!$C$47="Weekly",'Inputs-Separate'!$B$47*52,IF('Inputs-Separate'!$C$47="Annually",'Inputs-Separate'!$B$47*1))))</f>
        <v>200</v>
      </c>
      <c r="O25" s="14">
        <f>IF('Inputs-Consolidated'!$C$46="Monthly",'Inputs-Consolidated'!$B$46*12,IF('Inputs-Consolidated'!$C$46="Daily",'Inputs-Consolidated'!$B$67*365,IF('Inputs-Consolidated'!$C$46="Weekly",'Inputs-Consolidated'!$B$46*52,IF('Inputs-Consolidated'!$C$46="Annually",'Inputs-Consolidated'!$B$46*1))))</f>
        <v>200</v>
      </c>
      <c r="P25" s="154">
        <f>IF('Inputs-Buy Pork'!$C$43="Monthly",'Inputs-Buy Pork'!$B$43*12,IF('Inputs-Buy Pork'!$C$43="Daily",'Inputs-Buy Pork'!$B$43*365,IF('Inputs-Buy Pork'!$C$43="Weekly",'Inputs-Buy Pork'!$B$43*52,IF('Inputs-Buy Pork'!$C$43="Annually",'Inputs-Buy Pork'!$B$43*1))))</f>
        <v>200</v>
      </c>
      <c r="Q25" s="185">
        <f>IF('Inputs-Buy Beef'!$C$44="Monthly",'Inputs-Buy Beef'!$B$44*12,IF('Inputs-Buy Beef'!$C$44="Daily",'Inputs-Buy Beef'!$B$44*365,IF('Inputs-Buy Beef'!$C$44="Weekly",'Inputs-Buy Beef'!$B$44*52,IF('Inputs-Buy Beef'!$C$44="Annually",'Inputs-Buy Beef'!$B$44*1))))</f>
        <v>200</v>
      </c>
      <c r="R25" s="45">
        <f>IF('Inputs-Separate'!$C$47="Monthly",'Inputs-Separate'!$B$47*12,IF('Inputs-Separate'!$C$47="Daily",'Inputs-Separate'!$B$47*365,IF('Inputs-Separate'!$C$47="Weekly",'Inputs-Separate'!$B$47*52,IF('Inputs-Separate'!$C$47="Annually",'Inputs-Separate'!$B$47*1))))</f>
        <v>200</v>
      </c>
      <c r="S25" s="14">
        <f>IF('Inputs-Consolidated'!$C$46="Monthly",'Inputs-Consolidated'!$B$46*12,IF('Inputs-Consolidated'!$C$46="Daily",'Inputs-Consolidated'!$B$67*365,IF('Inputs-Consolidated'!$C$46="Weekly",'Inputs-Consolidated'!$B$46*52,IF('Inputs-Consolidated'!$C$46="Annually",'Inputs-Consolidated'!$B$46*1))))</f>
        <v>200</v>
      </c>
      <c r="T25" s="154">
        <f>IF('Inputs-Buy Pork'!$C$43="Monthly",'Inputs-Buy Pork'!$B$43*12,IF('Inputs-Buy Pork'!$C$43="Daily",'Inputs-Buy Pork'!$B$43*365,IF('Inputs-Buy Pork'!$C$43="Weekly",'Inputs-Buy Pork'!$B$43*52,IF('Inputs-Buy Pork'!$C$43="Annually",'Inputs-Buy Pork'!$B$43*1))))</f>
        <v>200</v>
      </c>
      <c r="U25" s="185">
        <f>IF('Inputs-Buy Beef'!$C$44="Monthly",'Inputs-Buy Beef'!$B$44*12,IF('Inputs-Buy Beef'!$C$44="Daily",'Inputs-Buy Beef'!$B$44*365,IF('Inputs-Buy Beef'!$C$44="Weekly",'Inputs-Buy Beef'!$B$44*52,IF('Inputs-Buy Beef'!$C$44="Annually",'Inputs-Buy Beef'!$B$44*1))))</f>
        <v>200</v>
      </c>
    </row>
    <row r="26" spans="1:21" ht="15">
      <c r="A26" s="179" t="str">
        <f>"     Depreciation"</f>
        <v xml:space="preserve">     Depreciation</v>
      </c>
      <c r="B26" s="45">
        <f>IF('Inputs-Separate'!$C$48="Daily",'Inputs-Separate'!$B$48*365,IF('Inputs-Separate'!$C$48="Weekly",'Inputs-Separate'!$B$48*52,IF('Inputs-Separate'!$C$48="Monthly",'Inputs-Separate'!$B$48*12,IF('Inputs-Separate'!$C$48="Annually",'Inputs-Separate'!$B$48))))</f>
        <v>0</v>
      </c>
      <c r="C26" s="14">
        <f>IF('Inputs-Consolidated'!$C$47="Daily",'Inputs-Consolidated'!$B$47*365,IF('Inputs-Consolidated'!$C$47="Weekly",'Inputs-Consolidated'!$B$47*52,IF('Inputs-Consolidated'!$C$47="Monthly",'Inputs-Consolidated'!$B$47*12,IF('Inputs-Consolidated'!$C$47="Annually",'Inputs-Consolidated'!$B$47))))</f>
        <v>0</v>
      </c>
      <c r="D26" s="154">
        <f>IF('Inputs-Buy Pork'!$C$44="Daily",'Inputs-Buy Pork'!$B$44*365,IF('Inputs-Buy Pork'!$C$44="Weekly",'Inputs-Buy Pork'!$B$44*52,IF('Inputs-Buy Pork'!$C$44="Monthly",'Inputs-Buy Pork'!$B$44*12,IF('Inputs-Buy Pork'!$C$44="Annually",'Inputs-Buy Pork'!$B$44))))</f>
        <v>0</v>
      </c>
      <c r="E26" s="185">
        <f>IF('Inputs-Buy Beef'!$C$45="Daily",'Inputs-Buy Beef'!$B$45*365,IF('Inputs-Buy Beef'!$C$45="Weekly",'Inputs-Buy Beef'!$B$45*52,IF('Inputs-Buy Beef'!$C$45="Monthly",'Inputs-Buy Beef'!$B$45*12,IF('Inputs-Buy Beef'!$C$45="Annually",'Inputs-Buy Beef'!$B$45))))</f>
        <v>0</v>
      </c>
      <c r="F26" s="45">
        <f>IF('Inputs-Separate'!$C$48="Daily",'Inputs-Separate'!$B$48*365,IF('Inputs-Separate'!$C$48="Weekly",'Inputs-Separate'!$B$48*52,IF('Inputs-Separate'!$C$48="Monthly",'Inputs-Separate'!$B$48*12,IF('Inputs-Separate'!$C$48="Annually",'Inputs-Separate'!$B$48))))</f>
        <v>0</v>
      </c>
      <c r="G26" s="14">
        <f>IF('Inputs-Consolidated'!$C$47="Daily",'Inputs-Consolidated'!$B$47*365,IF('Inputs-Consolidated'!$C$47="Weekly",'Inputs-Consolidated'!$B$47*52,IF('Inputs-Consolidated'!$C$47="Monthly",'Inputs-Consolidated'!$B$47*12,IF('Inputs-Consolidated'!$C$47="Annually",'Inputs-Consolidated'!$B$47))))</f>
        <v>0</v>
      </c>
      <c r="H26" s="154">
        <f>IF('Inputs-Buy Pork'!$C$44="Daily",'Inputs-Buy Pork'!$B$44*365,IF('Inputs-Buy Pork'!$C$44="Weekly",'Inputs-Buy Pork'!$B$44*52,IF('Inputs-Buy Pork'!$C$44="Monthly",'Inputs-Buy Pork'!$B$44*12,IF('Inputs-Buy Pork'!$C$44="Annually",'Inputs-Buy Pork'!$B$44))))</f>
        <v>0</v>
      </c>
      <c r="I26" s="185">
        <f>IF('Inputs-Buy Beef'!$C$45="Daily",'Inputs-Buy Beef'!$B$45*365,IF('Inputs-Buy Beef'!$C$45="Weekly",'Inputs-Buy Beef'!$B$45*52,IF('Inputs-Buy Beef'!$C$45="Monthly",'Inputs-Buy Beef'!$B$45*12,IF('Inputs-Buy Beef'!$C$45="Annually",'Inputs-Buy Beef'!$B$45))))</f>
        <v>0</v>
      </c>
      <c r="J26" s="45">
        <f>IF('Inputs-Separate'!$C$48="Daily",'Inputs-Separate'!$B$48*365,IF('Inputs-Separate'!$C$48="Weekly",'Inputs-Separate'!$B$48*52,IF('Inputs-Separate'!$C$48="Monthly",'Inputs-Separate'!$B$48*12,IF('Inputs-Separate'!$C$48="Annually",'Inputs-Separate'!$B$48))))</f>
        <v>0</v>
      </c>
      <c r="K26" s="14">
        <f>IF('Inputs-Consolidated'!$C$47="Daily",'Inputs-Consolidated'!$B$47*365,IF('Inputs-Consolidated'!$C$47="Weekly",'Inputs-Consolidated'!$B$47*52,IF('Inputs-Consolidated'!$C$47="Monthly",'Inputs-Consolidated'!$B$47*12,IF('Inputs-Consolidated'!$C$47="Annually",'Inputs-Consolidated'!$B$47))))</f>
        <v>0</v>
      </c>
      <c r="L26" s="154">
        <f>IF('Inputs-Buy Pork'!$C$44="Daily",'Inputs-Buy Pork'!$B$44*365,IF('Inputs-Buy Pork'!$C$44="Weekly",'Inputs-Buy Pork'!$B$44*52,IF('Inputs-Buy Pork'!$C$44="Monthly",'Inputs-Buy Pork'!$B$44*12,IF('Inputs-Buy Pork'!$C$44="Annually",'Inputs-Buy Pork'!$B$44))))</f>
        <v>0</v>
      </c>
      <c r="M26" s="185">
        <f>IF('Inputs-Buy Beef'!$C$45="Daily",'Inputs-Buy Beef'!$B$45*365,IF('Inputs-Buy Beef'!$C$45="Weekly",'Inputs-Buy Beef'!$B$45*52,IF('Inputs-Buy Beef'!$C$45="Monthly",'Inputs-Buy Beef'!$B$45*12,IF('Inputs-Buy Beef'!$C$45="Annually",'Inputs-Buy Beef'!$B$45))))</f>
        <v>0</v>
      </c>
      <c r="N26" s="45">
        <f>IF('Inputs-Separate'!$C$48="Daily",'Inputs-Separate'!$B$48*365,IF('Inputs-Separate'!$C$48="Weekly",'Inputs-Separate'!$B$48*52,IF('Inputs-Separate'!$C$48="Monthly",'Inputs-Separate'!$B$48*12,IF('Inputs-Separate'!$C$48="Annually",'Inputs-Separate'!$B$48))))</f>
        <v>0</v>
      </c>
      <c r="O26" s="14">
        <f>IF('Inputs-Consolidated'!$C$47="Daily",'Inputs-Consolidated'!$B$47*365,IF('Inputs-Consolidated'!$C$47="Weekly",'Inputs-Consolidated'!$B$47*52,IF('Inputs-Consolidated'!$C$47="Monthly",'Inputs-Consolidated'!$B$47*12,IF('Inputs-Consolidated'!$C$47="Annually",'Inputs-Consolidated'!$B$47))))</f>
        <v>0</v>
      </c>
      <c r="P26" s="154">
        <f>IF('Inputs-Buy Pork'!$C$44="Daily",'Inputs-Buy Pork'!$B$44*365,IF('Inputs-Buy Pork'!$C$44="Weekly",'Inputs-Buy Pork'!$B$44*52,IF('Inputs-Buy Pork'!$C$44="Monthly",'Inputs-Buy Pork'!$B$44*12,IF('Inputs-Buy Pork'!$C$44="Annually",'Inputs-Buy Pork'!$B$44))))</f>
        <v>0</v>
      </c>
      <c r="Q26" s="185">
        <f>IF('Inputs-Buy Beef'!$C$45="Daily",'Inputs-Buy Beef'!$B$45*365,IF('Inputs-Buy Beef'!$C$45="Weekly",'Inputs-Buy Beef'!$B$45*52,IF('Inputs-Buy Beef'!$C$45="Monthly",'Inputs-Buy Beef'!$B$45*12,IF('Inputs-Buy Beef'!$C$45="Annually",'Inputs-Buy Beef'!$B$45))))</f>
        <v>0</v>
      </c>
      <c r="R26" s="45">
        <f>IF('Inputs-Separate'!$C$48="Daily",'Inputs-Separate'!$B$48*365,IF('Inputs-Separate'!$C$48="Weekly",'Inputs-Separate'!$B$48*52,IF('Inputs-Separate'!$C$48="Monthly",'Inputs-Separate'!$B$48*12,IF('Inputs-Separate'!$C$48="Annually",'Inputs-Separate'!$B$48))))</f>
        <v>0</v>
      </c>
      <c r="S26" s="14">
        <f>IF('Inputs-Consolidated'!$C$47="Daily",'Inputs-Consolidated'!$B$47*365,IF('Inputs-Consolidated'!$C$47="Weekly",'Inputs-Consolidated'!$B$47*52,IF('Inputs-Consolidated'!$C$47="Monthly",'Inputs-Consolidated'!$B$47*12,IF('Inputs-Consolidated'!$C$47="Annually",'Inputs-Consolidated'!$B$47))))</f>
        <v>0</v>
      </c>
      <c r="T26" s="154">
        <f>IF('Inputs-Buy Pork'!$C$44="Daily",'Inputs-Buy Pork'!$B$44*365,IF('Inputs-Buy Pork'!$C$44="Weekly",'Inputs-Buy Pork'!$B$44*52,IF('Inputs-Buy Pork'!$C$44="Monthly",'Inputs-Buy Pork'!$B$44*12,IF('Inputs-Buy Pork'!$C$44="Annually",'Inputs-Buy Pork'!$B$44))))</f>
        <v>0</v>
      </c>
      <c r="U26" s="185">
        <f>IF('Inputs-Buy Beef'!$C$45="Daily",'Inputs-Buy Beef'!$B$45*365,IF('Inputs-Buy Beef'!$C$45="Weekly",'Inputs-Buy Beef'!$B$45*52,IF('Inputs-Buy Beef'!$C$45="Monthly",'Inputs-Buy Beef'!$B$45*12,IF('Inputs-Buy Beef'!$C$45="Annually",'Inputs-Buy Beef'!$B$45))))</f>
        <v>0</v>
      </c>
    </row>
    <row r="27" spans="1:21" ht="15">
      <c r="A27" s="179" t="str">
        <f>"     Transportation of meatballs"</f>
        <v xml:space="preserve">     Transportation of meatballs</v>
      </c>
      <c r="B27" s="45">
        <f>IF('Inputs-Separate'!$C$49="Monthly",'Inputs-Separate'!$B$49*12,IF('Inputs-Separate'!$C$49="Annually",'Inputs-Separate'!$B$49))</f>
        <v>500</v>
      </c>
      <c r="C27" s="112">
        <f>IF('Inputs-Consolidated'!$C$48="Monthly",'Inputs-Consolidated'!$B$48*12,IF('Inputs-Consolidated'!$C$48="Annually",'Inputs-Consolidated'!$B$48))</f>
        <v>500</v>
      </c>
      <c r="D27" s="154">
        <f>IF('Inputs-Buy Pork'!$C$45="Monthly",'Inputs-Buy Pork'!$B$45*12,IF('Inputs-Buy Pork'!$C$45="Annually",'Inputs-Buy Pork'!$B$45))</f>
        <v>500</v>
      </c>
      <c r="E27" s="185">
        <f>IF('Inputs-Buy Beef'!$C$46="Monthly",'Inputs-Buy Beef'!$B$46*12,IF('Inputs-Buy Beef'!$C$46="Annually",'Inputs-Buy Beef'!$B$46))</f>
        <v>500</v>
      </c>
      <c r="F27" s="45">
        <f>IF('Inputs-Separate'!$C$49="Monthly",'Inputs-Separate'!$B$49*12,IF('Inputs-Separate'!$C$49="Annually",'Inputs-Separate'!$B$49))</f>
        <v>500</v>
      </c>
      <c r="G27" s="112">
        <f>IF('Inputs-Consolidated'!$C$48="Monthly",'Inputs-Consolidated'!$B$48*12,IF('Inputs-Consolidated'!$C$48="Annually",'Inputs-Consolidated'!$B$48))</f>
        <v>500</v>
      </c>
      <c r="H27" s="154">
        <f>IF('Inputs-Buy Pork'!$C$45="Monthly",'Inputs-Buy Pork'!$B$45*12,IF('Inputs-Buy Pork'!$C$45="Annually",'Inputs-Buy Pork'!$B$45))</f>
        <v>500</v>
      </c>
      <c r="I27" s="185">
        <f>IF('Inputs-Buy Beef'!$C$46="Monthly",'Inputs-Buy Beef'!$B$46*12,IF('Inputs-Buy Beef'!$C$46="Annually",'Inputs-Buy Beef'!$B$46))</f>
        <v>500</v>
      </c>
      <c r="J27" s="45">
        <f>IF('Inputs-Separate'!$C$49="Monthly",'Inputs-Separate'!$B$49*12,IF('Inputs-Separate'!$C$49="Annually",'Inputs-Separate'!$B$49))</f>
        <v>500</v>
      </c>
      <c r="K27" s="112">
        <f>IF('Inputs-Consolidated'!$C$48="Monthly",'Inputs-Consolidated'!$B$48*12,IF('Inputs-Consolidated'!$C$48="Annually",'Inputs-Consolidated'!$B$48))</f>
        <v>500</v>
      </c>
      <c r="L27" s="154">
        <f>IF('Inputs-Buy Pork'!$C$45="Monthly",'Inputs-Buy Pork'!$B$45*12,IF('Inputs-Buy Pork'!$C$45="Annually",'Inputs-Buy Pork'!$B$45))</f>
        <v>500</v>
      </c>
      <c r="M27" s="185">
        <f>IF('Inputs-Buy Beef'!$C$46="Monthly",'Inputs-Buy Beef'!$B$46*12,IF('Inputs-Buy Beef'!$C$46="Annually",'Inputs-Buy Beef'!$B$46))</f>
        <v>500</v>
      </c>
      <c r="N27" s="45">
        <f>IF('Inputs-Separate'!$C$49="Monthly",'Inputs-Separate'!$B$49*12,IF('Inputs-Separate'!$C$49="Annually",'Inputs-Separate'!$B$49))</f>
        <v>500</v>
      </c>
      <c r="O27" s="112">
        <f>IF('Inputs-Consolidated'!$C$48="Monthly",'Inputs-Consolidated'!$B$48*12,IF('Inputs-Consolidated'!$C$48="Annually",'Inputs-Consolidated'!$B$48))</f>
        <v>500</v>
      </c>
      <c r="P27" s="154">
        <f>IF('Inputs-Buy Pork'!$C$45="Monthly",'Inputs-Buy Pork'!$B$45*12,IF('Inputs-Buy Pork'!$C$45="Annually",'Inputs-Buy Pork'!$B$45))</f>
        <v>500</v>
      </c>
      <c r="Q27" s="185">
        <f>IF('Inputs-Buy Beef'!$C$46="Monthly",'Inputs-Buy Beef'!$B$46*12,IF('Inputs-Buy Beef'!$C$46="Annually",'Inputs-Buy Beef'!$B$46))</f>
        <v>500</v>
      </c>
      <c r="R27" s="45">
        <f>IF('Inputs-Separate'!$C$49="Monthly",'Inputs-Separate'!$B$49*12,IF('Inputs-Separate'!$C$49="Annually",'Inputs-Separate'!$B$49))</f>
        <v>500</v>
      </c>
      <c r="S27" s="112">
        <f>IF('Inputs-Consolidated'!$C$48="Monthly",'Inputs-Consolidated'!$B$48*12,IF('Inputs-Consolidated'!$C$48="Annually",'Inputs-Consolidated'!$B$48))</f>
        <v>500</v>
      </c>
      <c r="T27" s="154">
        <f>IF('Inputs-Buy Pork'!$C$45="Monthly",'Inputs-Buy Pork'!$B$45*12,IF('Inputs-Buy Pork'!$C$45="Annually",'Inputs-Buy Pork'!$B$45))</f>
        <v>500</v>
      </c>
      <c r="U27" s="185">
        <f>IF('Inputs-Buy Beef'!$C$46="Monthly",'Inputs-Buy Beef'!$B$46*12,IF('Inputs-Buy Beef'!$C$46="Annually",'Inputs-Buy Beef'!$B$46))</f>
        <v>500</v>
      </c>
    </row>
    <row r="28" spans="1:21" ht="15.75" thickBot="1">
      <c r="A28" s="179" t="str">
        <f>"     Other"</f>
        <v xml:space="preserve">     Other</v>
      </c>
      <c r="B28" s="46">
        <f>IF('Inputs-Separate'!$C$50="Weekly",'Inputs-Separate'!$B$50*52,IF('Inputs-Separate'!$C$50="Daily",'Inputs-Separate'!$B$50*365,IF('Inputs-Separate'!$C$50="Monthly",'Inputs-Separate'!$B$50*12,IF('Inputs-Separate'!C51="Annually",'Inputs-Separate'!$B$50))))</f>
        <v>0</v>
      </c>
      <c r="C28" s="39">
        <f>IF('Inputs-Consolidated'!$C$49="Weekly",'Inputs-Consolidated'!$B$49*52,IF('Inputs-Consolidated'!$C$49="Daily",'Inputs-Consolidated'!$B$49*365,IF('Inputs-Consolidated'!$C$49="Monthly",'Inputs-Consolidated'!$B$49*12,IF('Inputs-Consolidated'!C50="Annually",'Inputs-Consolidated'!$B$49))))</f>
        <v>0</v>
      </c>
      <c r="D28" s="155">
        <f>IF('Inputs-Buy Pork'!$C$46="Weekly",'Inputs-Buy Pork'!$B$46*52,IF('Inputs-Buy Pork'!$C$46="Daily",'Inputs-Buy Pork'!$B$46*365,IF('Inputs-Buy Pork'!$C$46="Monthly",'Inputs-Buy Pork'!$B$46*12,IF('Inputs-Buy Pork'!E47="Annually",'Inputs-Buy Pork'!$B$46))))</f>
        <v>0</v>
      </c>
      <c r="E28" s="156">
        <f>IF('Inputs-Buy Beef'!$C$47="Weekly",'Inputs-Buy Beef'!$B$47*52,IF('Inputs-Buy Beef'!$C$47="Daily",'Inputs-Buy Beef'!$B$47*365,IF('Inputs-Buy Beef'!$C$47="Monthly",'Inputs-Buy Beef'!$B$47*12,IF('Inputs-Buy Beef'!F48="Annually",'Inputs-Buy Beef'!$B$47))))</f>
        <v>0</v>
      </c>
      <c r="F28" s="46">
        <f>IF('Inputs-Separate'!$C$50="Weekly",'Inputs-Separate'!$B$50*52,IF('Inputs-Separate'!$C$50="Daily",'Inputs-Separate'!$B$50*365,IF('Inputs-Separate'!$C$50="Monthly",'Inputs-Separate'!$B$50*12,IF('Inputs-Separate'!F51="Annually",'Inputs-Separate'!$B$50))))</f>
        <v>0</v>
      </c>
      <c r="G28" s="39">
        <f>IF('Inputs-Consolidated'!$C$49="Weekly",'Inputs-Consolidated'!$B$49*52,IF('Inputs-Consolidated'!$C$49="Daily",'Inputs-Consolidated'!$B$49*365,IF('Inputs-Consolidated'!$C$49="Monthly",'Inputs-Consolidated'!$B$49*12,IF('Inputs-Consolidated'!F50="Annually",'Inputs-Consolidated'!$B$49))))</f>
        <v>0</v>
      </c>
      <c r="H28" s="155">
        <f>IF('Inputs-Buy Pork'!$C$46="Weekly",'Inputs-Buy Pork'!$B$46*52,IF('Inputs-Buy Pork'!$C$46="Daily",'Inputs-Buy Pork'!$B$46*365,IF('Inputs-Buy Pork'!$C$46="Monthly",'Inputs-Buy Pork'!$B$46*12,IF('Inputs-Buy Pork'!H47="Annually",'Inputs-Buy Pork'!$B$46))))</f>
        <v>0</v>
      </c>
      <c r="I28" s="156">
        <f>IF('Inputs-Buy Beef'!$C$47="Weekly",'Inputs-Buy Beef'!$B$47*52,IF('Inputs-Buy Beef'!$C$47="Daily",'Inputs-Buy Beef'!$B$47*365,IF('Inputs-Buy Beef'!$C$47="Monthly",'Inputs-Buy Beef'!$B$47*12,IF('Inputs-Buy Beef'!J48="Annually",'Inputs-Buy Beef'!$B$47))))</f>
        <v>0</v>
      </c>
      <c r="J28" s="46">
        <f>IF('Inputs-Separate'!$C$50="Weekly",'Inputs-Separate'!$B$50*52,IF('Inputs-Separate'!$C$50="Daily",'Inputs-Separate'!$B$50*365,IF('Inputs-Separate'!$C$50="Monthly",'Inputs-Separate'!$B$50*12,IF('Inputs-Separate'!I51="Annually",'Inputs-Separate'!$B$50))))</f>
        <v>0</v>
      </c>
      <c r="K28" s="39">
        <f>IF('Inputs-Consolidated'!$C$49="Weekly",'Inputs-Consolidated'!$B$49*52,IF('Inputs-Consolidated'!$C$49="Daily",'Inputs-Consolidated'!$B$49*365,IF('Inputs-Consolidated'!$C$49="Monthly",'Inputs-Consolidated'!$B$49*12,IF('Inputs-Consolidated'!I50="Annually",'Inputs-Consolidated'!$B$49))))</f>
        <v>0</v>
      </c>
      <c r="L28" s="155">
        <f>IF('Inputs-Buy Pork'!$C$46="Weekly",'Inputs-Buy Pork'!$B$46*52,IF('Inputs-Buy Pork'!$C$46="Daily",'Inputs-Buy Pork'!$B$46*365,IF('Inputs-Buy Pork'!$C$46="Monthly",'Inputs-Buy Pork'!$B$46*12,IF('Inputs-Buy Pork'!K47="Annually",'Inputs-Buy Pork'!$B$46))))</f>
        <v>0</v>
      </c>
      <c r="M28" s="156">
        <f>IF('Inputs-Buy Beef'!$C$47="Weekly",'Inputs-Buy Beef'!$B$47*52,IF('Inputs-Buy Beef'!$C$47="Daily",'Inputs-Buy Beef'!$B$47*365,IF('Inputs-Buy Beef'!$C$47="Monthly",'Inputs-Buy Beef'!$B$47*12,IF('Inputs-Buy Beef'!N48="Annually",'Inputs-Buy Beef'!$B$47))))</f>
        <v>0</v>
      </c>
      <c r="N28" s="46">
        <f>IF('Inputs-Separate'!$C$50="Weekly",'Inputs-Separate'!$B$50*52,IF('Inputs-Separate'!$C$50="Daily",'Inputs-Separate'!$B$50*365,IF('Inputs-Separate'!$C$50="Monthly",'Inputs-Separate'!$B$50*12,IF('Inputs-Separate'!L51="Annually",'Inputs-Separate'!$B$50))))</f>
        <v>0</v>
      </c>
      <c r="O28" s="39">
        <f>IF('Inputs-Consolidated'!$C$49="Weekly",'Inputs-Consolidated'!$B$49*52,IF('Inputs-Consolidated'!$C$49="Daily",'Inputs-Consolidated'!$B$49*365,IF('Inputs-Consolidated'!$C$49="Monthly",'Inputs-Consolidated'!$B$49*12,IF('Inputs-Consolidated'!L50="Annually",'Inputs-Consolidated'!$B$49))))</f>
        <v>0</v>
      </c>
      <c r="P28" s="155">
        <f>IF('Inputs-Buy Pork'!$C$46="Weekly",'Inputs-Buy Pork'!$B$46*52,IF('Inputs-Buy Pork'!$C$46="Daily",'Inputs-Buy Pork'!$B$46*365,IF('Inputs-Buy Pork'!$C$46="Monthly",'Inputs-Buy Pork'!$B$46*12,IF('Inputs-Buy Pork'!N47="Annually",'Inputs-Buy Pork'!$B$46))))</f>
        <v>0</v>
      </c>
      <c r="Q28" s="156">
        <f>IF('Inputs-Buy Beef'!$C$47="Weekly",'Inputs-Buy Beef'!$B$47*52,IF('Inputs-Buy Beef'!$C$47="Daily",'Inputs-Buy Beef'!$B$47*365,IF('Inputs-Buy Beef'!$C$47="Monthly",'Inputs-Buy Beef'!$B$47*12,IF('Inputs-Buy Beef'!R48="Annually",'Inputs-Buy Beef'!$B$47))))</f>
        <v>0</v>
      </c>
      <c r="R28" s="46">
        <f>IF('Inputs-Separate'!$C$50="Weekly",'Inputs-Separate'!$B$50*52,IF('Inputs-Separate'!$C$50="Daily",'Inputs-Separate'!$B$50*365,IF('Inputs-Separate'!$C$50="Monthly",'Inputs-Separate'!$B$50*12,IF('Inputs-Separate'!O51="Annually",'Inputs-Separate'!$B$50))))</f>
        <v>0</v>
      </c>
      <c r="S28" s="39">
        <f>IF('Inputs-Consolidated'!$C$49="Weekly",'Inputs-Consolidated'!$B$49*52,IF('Inputs-Consolidated'!$C$49="Daily",'Inputs-Consolidated'!$B$49*365,IF('Inputs-Consolidated'!$C$49="Monthly",'Inputs-Consolidated'!$B$49*12,IF('Inputs-Consolidated'!O50="Annually",'Inputs-Consolidated'!$B$49))))</f>
        <v>0</v>
      </c>
      <c r="T28" s="155">
        <f>IF('Inputs-Buy Pork'!$C$46="Weekly",'Inputs-Buy Pork'!$B$46*52,IF('Inputs-Buy Pork'!$C$46="Daily",'Inputs-Buy Pork'!$B$46*365,IF('Inputs-Buy Pork'!$C$46="Monthly",'Inputs-Buy Pork'!$B$46*12,IF('Inputs-Buy Pork'!Q47="Annually",'Inputs-Buy Pork'!$B$46))))</f>
        <v>0</v>
      </c>
      <c r="U28" s="156">
        <f>IF('Inputs-Buy Beef'!$C$47="Weekly",'Inputs-Buy Beef'!$B$47*52,IF('Inputs-Buy Beef'!$C$47="Daily",'Inputs-Buy Beef'!$B$47*365,IF('Inputs-Buy Beef'!$C$47="Monthly",'Inputs-Buy Beef'!$B$47*12,IF('Inputs-Buy Beef'!V48="Annually",'Inputs-Buy Beef'!$B$47))))</f>
        <v>0</v>
      </c>
    </row>
    <row r="29" spans="1:21" ht="15">
      <c r="A29" s="178" t="s">
        <v>7</v>
      </c>
      <c r="B29" s="106">
        <f>SUM(B25:B28)</f>
        <v>700</v>
      </c>
      <c r="C29" s="197">
        <f aca="true" t="shared" si="3" ref="C29:T29">SUM(C25:C28)</f>
        <v>700</v>
      </c>
      <c r="D29" s="188">
        <f t="shared" si="3"/>
        <v>700</v>
      </c>
      <c r="E29" s="196">
        <f>SUM(E25:E28)</f>
        <v>700</v>
      </c>
      <c r="F29" s="106">
        <f t="shared" si="3"/>
        <v>700</v>
      </c>
      <c r="G29" s="197">
        <f t="shared" si="3"/>
        <v>700</v>
      </c>
      <c r="H29" s="188">
        <f t="shared" si="3"/>
        <v>700</v>
      </c>
      <c r="I29" s="196">
        <f>SUM(I25:I28)</f>
        <v>700</v>
      </c>
      <c r="J29" s="106">
        <f t="shared" si="3"/>
        <v>700</v>
      </c>
      <c r="K29" s="197">
        <f t="shared" si="3"/>
        <v>700</v>
      </c>
      <c r="L29" s="188">
        <f t="shared" si="3"/>
        <v>700</v>
      </c>
      <c r="M29" s="196">
        <f>SUM(M25:M28)</f>
        <v>700</v>
      </c>
      <c r="N29" s="106">
        <f t="shared" si="3"/>
        <v>700</v>
      </c>
      <c r="O29" s="197">
        <f t="shared" si="3"/>
        <v>700</v>
      </c>
      <c r="P29" s="188">
        <f t="shared" si="3"/>
        <v>700</v>
      </c>
      <c r="Q29" s="196">
        <f>SUM(Q25:Q28)</f>
        <v>700</v>
      </c>
      <c r="R29" s="106">
        <f t="shared" si="3"/>
        <v>700</v>
      </c>
      <c r="S29" s="197">
        <f t="shared" si="3"/>
        <v>700</v>
      </c>
      <c r="T29" s="188">
        <f t="shared" si="3"/>
        <v>700</v>
      </c>
      <c r="U29" s="196">
        <f>SUM(U25:U28)</f>
        <v>700</v>
      </c>
    </row>
    <row r="30" spans="1:21" ht="15">
      <c r="A30" s="179"/>
      <c r="B30" s="45"/>
      <c r="C30" s="14"/>
      <c r="D30" s="154"/>
      <c r="E30" s="185"/>
      <c r="F30" s="45"/>
      <c r="G30" s="14"/>
      <c r="H30" s="154"/>
      <c r="I30" s="185"/>
      <c r="J30" s="45"/>
      <c r="K30" s="14"/>
      <c r="L30" s="154"/>
      <c r="M30" s="185"/>
      <c r="N30" s="45"/>
      <c r="O30" s="14"/>
      <c r="P30" s="154"/>
      <c r="Q30" s="185"/>
      <c r="R30" s="45"/>
      <c r="S30" s="14"/>
      <c r="T30" s="154"/>
      <c r="U30" s="185"/>
    </row>
    <row r="31" spans="1:21" ht="15">
      <c r="A31" s="178" t="s">
        <v>8</v>
      </c>
      <c r="B31" s="108"/>
      <c r="C31" s="109"/>
      <c r="D31" s="186"/>
      <c r="E31" s="191"/>
      <c r="F31" s="108"/>
      <c r="G31" s="109"/>
      <c r="H31" s="186"/>
      <c r="I31" s="191"/>
      <c r="J31" s="108"/>
      <c r="K31" s="109"/>
      <c r="L31" s="186"/>
      <c r="M31" s="191"/>
      <c r="N31" s="108"/>
      <c r="O31" s="109"/>
      <c r="P31" s="186"/>
      <c r="Q31" s="191"/>
      <c r="R31" s="108"/>
      <c r="S31" s="109"/>
      <c r="T31" s="186"/>
      <c r="U31" s="191"/>
    </row>
    <row r="32" spans="1:21" ht="15">
      <c r="A32" s="179" t="str">
        <f>"     Salaries and wages"</f>
        <v xml:space="preserve">     Salaries and wages</v>
      </c>
      <c r="B32" s="45">
        <f>IF('Inputs-Separate'!$C$53="Annually",'Inputs-Separate'!$B$53,IF('Inputs-Separate'!$C$53="Daily",'Inputs-Separate'!$B$53*365,IF('Inputs-Separate'!$C$53="Weekly",'Inputs-Separate'!$B$53*52,IF('Inputs-Separate'!$C$53="Monthly",'Inputs-Separate'!$B$53*12))))</f>
        <v>0</v>
      </c>
      <c r="C32" s="14">
        <f>IF('Inputs-Consolidated'!$C$52="Annually",'Inputs-Consolidated'!$B$52,IF('Inputs-Consolidated'!$C$52="Daily",'Inputs-Consolidated'!$B$52*365,IF('Inputs-Consolidated'!$C$52="Weekly",'Inputs-Consolidated'!$B$52*52,IF('Inputs-Consolidated'!$C$52="Monthly",'Inputs-Consolidated'!$B$52*12))))</f>
        <v>0</v>
      </c>
      <c r="D32" s="154">
        <f>IF('Inputs-Buy Pork'!$C$49="Annually",'Inputs-Buy Pork'!$B$49,IF('Inputs-Buy Pork'!$C$49="Daily",'Inputs-Buy Pork'!$B$49*365,IF('Inputs-Buy Pork'!$C$49="Weekly",'Inputs-Buy Pork'!$B$49*52,IF('Inputs-Buy Pork'!$C$49="Monthly",'Inputs-Buy Pork'!$B$49*12))))</f>
        <v>0</v>
      </c>
      <c r="E32" s="185">
        <f>IF('Inputs-Buy Beef'!$C$50="Annually",'Inputs-Buy Beef'!$B$50,IF('Inputs-Buy Beef'!$C$50="Daily",'Inputs-Buy Beef'!$B$50*365,IF('Inputs-Buy Beef'!$C$50="Weekly",'Inputs-Buy Beef'!$B$50*52,IF('Inputs-Buy Beef'!$C$50="Monthly",'Inputs-Buy Beef'!$B$50*12))))</f>
        <v>0</v>
      </c>
      <c r="F32" s="45">
        <f>IF('Inputs-Separate'!$C$53="Annually",'Inputs-Separate'!$B$53,IF('Inputs-Separate'!$C$53="Daily",'Inputs-Separate'!$B$53*365,IF('Inputs-Separate'!$C$53="Weekly",'Inputs-Separate'!$B$53*52,IF('Inputs-Separate'!$C$53="Monthly",'Inputs-Separate'!$B$53*12))))</f>
        <v>0</v>
      </c>
      <c r="G32" s="14">
        <f>IF('Inputs-Consolidated'!$C$52="Annually",'Inputs-Consolidated'!$B$52,IF('Inputs-Consolidated'!$C$52="Daily",'Inputs-Consolidated'!$B$52*365,IF('Inputs-Consolidated'!$C$52="Weekly",'Inputs-Consolidated'!$B$52*52,IF('Inputs-Consolidated'!$C$52="Monthly",'Inputs-Consolidated'!$B$52*12))))</f>
        <v>0</v>
      </c>
      <c r="H32" s="154">
        <f>IF('Inputs-Buy Pork'!$C$49="Annually",'Inputs-Buy Pork'!$B$49,IF('Inputs-Buy Pork'!$C$49="Daily",'Inputs-Buy Pork'!$B$49*365,IF('Inputs-Buy Pork'!$C$49="Weekly",'Inputs-Buy Pork'!$B$49*52,IF('Inputs-Buy Pork'!$C$49="Monthly",'Inputs-Buy Pork'!$B$49*12))))</f>
        <v>0</v>
      </c>
      <c r="I32" s="185">
        <f>IF('Inputs-Buy Beef'!$C$50="Annually",'Inputs-Buy Beef'!$B$50,IF('Inputs-Buy Beef'!$C$50="Daily",'Inputs-Buy Beef'!$B$50*365,IF('Inputs-Buy Beef'!$C$50="Weekly",'Inputs-Buy Beef'!$B$50*52,IF('Inputs-Buy Beef'!$C$50="Monthly",'Inputs-Buy Beef'!$B$50*12))))</f>
        <v>0</v>
      </c>
      <c r="J32" s="45">
        <f>IF('Inputs-Separate'!$C$53="Annually",'Inputs-Separate'!$B$53,IF('Inputs-Separate'!$C$53="Daily",'Inputs-Separate'!$B$53*365,IF('Inputs-Separate'!$C$53="Weekly",'Inputs-Separate'!$B$53*52,IF('Inputs-Separate'!$C$53="Monthly",'Inputs-Separate'!$B$53*12))))</f>
        <v>0</v>
      </c>
      <c r="K32" s="14">
        <f>IF('Inputs-Consolidated'!$C$52="Annually",'Inputs-Consolidated'!$B$52,IF('Inputs-Consolidated'!$C$52="Daily",'Inputs-Consolidated'!$B$52*365,IF('Inputs-Consolidated'!$C$52="Weekly",'Inputs-Consolidated'!$B$52*52,IF('Inputs-Consolidated'!$C$52="Monthly",'Inputs-Consolidated'!$B$52*12))))</f>
        <v>0</v>
      </c>
      <c r="L32" s="154">
        <f>IF('Inputs-Buy Pork'!$C$49="Annually",'Inputs-Buy Pork'!$B$49,IF('Inputs-Buy Pork'!$C$49="Daily",'Inputs-Buy Pork'!$B$49*365,IF('Inputs-Buy Pork'!$C$49="Weekly",'Inputs-Buy Pork'!$B$49*52,IF('Inputs-Buy Pork'!$C$49="Monthly",'Inputs-Buy Pork'!$B$49*12))))</f>
        <v>0</v>
      </c>
      <c r="M32" s="185">
        <f>IF('Inputs-Buy Beef'!$C$50="Annually",'Inputs-Buy Beef'!$B$50,IF('Inputs-Buy Beef'!$C$50="Daily",'Inputs-Buy Beef'!$B$50*365,IF('Inputs-Buy Beef'!$C$50="Weekly",'Inputs-Buy Beef'!$B$50*52,IF('Inputs-Buy Beef'!$C$50="Monthly",'Inputs-Buy Beef'!$B$50*12))))</f>
        <v>0</v>
      </c>
      <c r="N32" s="45">
        <f>IF('Inputs-Separate'!$C$53="Annually",'Inputs-Separate'!$B$53,IF('Inputs-Separate'!$C$53="Daily",'Inputs-Separate'!$B$53*365,IF('Inputs-Separate'!$C$53="Weekly",'Inputs-Separate'!$B$53*52,IF('Inputs-Separate'!$C$53="Monthly",'Inputs-Separate'!$B$53*12))))</f>
        <v>0</v>
      </c>
      <c r="O32" s="14">
        <f>IF('Inputs-Consolidated'!$C$52="Annually",'Inputs-Consolidated'!$B$52,IF('Inputs-Consolidated'!$C$52="Daily",'Inputs-Consolidated'!$B$52*365,IF('Inputs-Consolidated'!$C$52="Weekly",'Inputs-Consolidated'!$B$52*52,IF('Inputs-Consolidated'!$C$52="Monthly",'Inputs-Consolidated'!$B$52*12))))</f>
        <v>0</v>
      </c>
      <c r="P32" s="154">
        <f>IF('Inputs-Buy Pork'!$C$49="Annually",'Inputs-Buy Pork'!$B$49,IF('Inputs-Buy Pork'!$C$49="Daily",'Inputs-Buy Pork'!$B$49*365,IF('Inputs-Buy Pork'!$C$49="Weekly",'Inputs-Buy Pork'!$B$49*52,IF('Inputs-Buy Pork'!$C$49="Monthly",'Inputs-Buy Pork'!$B$49*12))))</f>
        <v>0</v>
      </c>
      <c r="Q32" s="185">
        <f>IF('Inputs-Buy Beef'!$C$50="Annually",'Inputs-Buy Beef'!$B$50,IF('Inputs-Buy Beef'!$C$50="Daily",'Inputs-Buy Beef'!$B$50*365,IF('Inputs-Buy Beef'!$C$50="Weekly",'Inputs-Buy Beef'!$B$50*52,IF('Inputs-Buy Beef'!$C$50="Monthly",'Inputs-Buy Beef'!$B$50*12))))</f>
        <v>0</v>
      </c>
      <c r="R32" s="45">
        <f>IF('Inputs-Separate'!$C$53="Annually",'Inputs-Separate'!$B$53,IF('Inputs-Separate'!$C$53="Daily",'Inputs-Separate'!$B$53*365,IF('Inputs-Separate'!$C$53="Weekly",'Inputs-Separate'!$B$53*52,IF('Inputs-Separate'!$C$53="Monthly",'Inputs-Separate'!$B$53*12))))</f>
        <v>0</v>
      </c>
      <c r="S32" s="14">
        <f>IF('Inputs-Consolidated'!$C$52="Annually",'Inputs-Consolidated'!$B$52,IF('Inputs-Consolidated'!$C$52="Daily",'Inputs-Consolidated'!$B$52*365,IF('Inputs-Consolidated'!$C$52="Weekly",'Inputs-Consolidated'!$B$52*52,IF('Inputs-Consolidated'!$C$52="Monthly",'Inputs-Consolidated'!$B$52*12))))</f>
        <v>0</v>
      </c>
      <c r="T32" s="154">
        <f>IF('Inputs-Buy Pork'!$C$49="Annually",'Inputs-Buy Pork'!$B$49,IF('Inputs-Buy Pork'!$C$49="Daily",'Inputs-Buy Pork'!$B$49*365,IF('Inputs-Buy Pork'!$C$49="Weekly",'Inputs-Buy Pork'!$B$49*52,IF('Inputs-Buy Pork'!$C$49="Monthly",'Inputs-Buy Pork'!$B$49*12))))</f>
        <v>0</v>
      </c>
      <c r="U32" s="185">
        <f>IF('Inputs-Buy Beef'!$C$50="Annually",'Inputs-Buy Beef'!$B$50,IF('Inputs-Buy Beef'!$C$50="Daily",'Inputs-Buy Beef'!$B$50*365,IF('Inputs-Buy Beef'!$C$50="Weekly",'Inputs-Buy Beef'!$B$50*52,IF('Inputs-Buy Beef'!$C$50="Monthly",'Inputs-Buy Beef'!$B$50*12))))</f>
        <v>0</v>
      </c>
    </row>
    <row r="33" spans="1:21" ht="15">
      <c r="A33" s="179" t="str">
        <f>"     Payroll taxes"</f>
        <v xml:space="preserve">     Payroll taxes</v>
      </c>
      <c r="B33" s="45">
        <f>'Inputs-Separate'!$G$29</f>
        <v>128</v>
      </c>
      <c r="C33" s="112">
        <f>'Inputs-Consolidated'!$G$29</f>
        <v>128</v>
      </c>
      <c r="D33" s="154">
        <f>'Inputs-Buy Pork'!$G$28</f>
        <v>128</v>
      </c>
      <c r="E33" s="185">
        <f>'Inputs-Buy Beef'!$G$28</f>
        <v>128</v>
      </c>
      <c r="F33" s="45">
        <f>'Inputs-Separate'!$G$29</f>
        <v>128</v>
      </c>
      <c r="G33" s="112">
        <f>'Inputs-Consolidated'!$G$29</f>
        <v>128</v>
      </c>
      <c r="H33" s="154">
        <f>'Inputs-Buy Pork'!$G$28</f>
        <v>128</v>
      </c>
      <c r="I33" s="185">
        <f>'Inputs-Buy Beef'!$G$28</f>
        <v>128</v>
      </c>
      <c r="J33" s="45">
        <f>'Inputs-Separate'!$G$29</f>
        <v>128</v>
      </c>
      <c r="K33" s="112">
        <f>'Inputs-Consolidated'!$G$29</f>
        <v>128</v>
      </c>
      <c r="L33" s="154">
        <f>'Inputs-Buy Pork'!$G$28</f>
        <v>128</v>
      </c>
      <c r="M33" s="185">
        <f>'Inputs-Buy Beef'!$G$28</f>
        <v>128</v>
      </c>
      <c r="N33" s="45">
        <f>'Inputs-Separate'!$G$29</f>
        <v>128</v>
      </c>
      <c r="O33" s="112">
        <f>'Inputs-Consolidated'!$G$29</f>
        <v>128</v>
      </c>
      <c r="P33" s="154">
        <f>'Inputs-Buy Pork'!$G$28</f>
        <v>128</v>
      </c>
      <c r="Q33" s="185">
        <f>'Inputs-Buy Beef'!$G$28</f>
        <v>128</v>
      </c>
      <c r="R33" s="45">
        <f>'Inputs-Separate'!$G$29</f>
        <v>128</v>
      </c>
      <c r="S33" s="112">
        <f>'Inputs-Consolidated'!$G$29</f>
        <v>128</v>
      </c>
      <c r="T33" s="154">
        <f>'Inputs-Buy Pork'!$G$28</f>
        <v>128</v>
      </c>
      <c r="U33" s="185">
        <f>'Inputs-Buy Beef'!$G$28</f>
        <v>128</v>
      </c>
    </row>
    <row r="34" spans="1:21" ht="15">
      <c r="A34" s="179" t="str">
        <f>"     Rent"</f>
        <v xml:space="preserve">     Rent</v>
      </c>
      <c r="B34" s="45">
        <f>IF('Inputs-Separate'!$C$54="Daily",'Inputs-Separate'!$B$54*365,IF('Inputs-Separate'!$C$54="Weekly",'Inputs-Separate'!$B$54*52,IF('Inputs-Separate'!$C$54="Monthly",'Inputs-Separate'!$B$54*12,IF('Inputs-Separate'!$C$54="Annually",'Inputs-Separate'!$B$54))))</f>
        <v>0</v>
      </c>
      <c r="C34" s="14">
        <f>IF('Inputs-Consolidated'!$C$53="Daily",'Inputs-Consolidated'!$B$53*365,IF('Inputs-Consolidated'!$C$53="Weekly",'Inputs-Consolidated'!$B$53*52,IF('Inputs-Consolidated'!$C$53="Monthly",'Inputs-Consolidated'!$B$53*12,IF('Inputs-Consolidated'!$C$53="Annually",'Inputs-Consolidated'!$B$53))))</f>
        <v>0</v>
      </c>
      <c r="D34" s="154">
        <f>IF('Inputs-Buy Pork'!$C$50="Daily",'Inputs-Buy Pork'!$B$50*365,IF('Inputs-Buy Pork'!$C$50="Weekly",'Inputs-Buy Pork'!$B$50*52,IF('Inputs-Buy Pork'!$C$50="Monthly",'Inputs-Buy Pork'!$B$50*12,IF('Inputs-Buy Pork'!$C$50="Annually",'Inputs-Buy Pork'!$B$50))))</f>
        <v>0</v>
      </c>
      <c r="E34" s="185">
        <f>IF('Inputs-Buy Beef'!$C$51="Daily",'Inputs-Buy Beef'!$B$51*365,IF('Inputs-Buy Beef'!$C$51="Weekly",'Inputs-Buy Beef'!$B$51*52,IF('Inputs-Buy Beef'!$C$51="Monthly",'Inputs-Buy Beef'!$B$51*12,IF('Inputs-Buy Beef'!$C$51="Annually",'Inputs-Buy Beef'!$B$51))))</f>
        <v>0</v>
      </c>
      <c r="F34" s="45">
        <f>IF('Inputs-Separate'!$C$54="Daily",'Inputs-Separate'!$B$54*365,IF('Inputs-Separate'!$C$54="Weekly",'Inputs-Separate'!$B$54*52,IF('Inputs-Separate'!$C$54="Monthly",'Inputs-Separate'!$B$54*12,IF('Inputs-Separate'!$C$54="Annually",'Inputs-Separate'!$B$54))))</f>
        <v>0</v>
      </c>
      <c r="G34" s="14">
        <f>IF('Inputs-Consolidated'!$C$53="Daily",'Inputs-Consolidated'!$B$53*365,IF('Inputs-Consolidated'!$C$53="Weekly",'Inputs-Consolidated'!$B$53*52,IF('Inputs-Consolidated'!$C$53="Monthly",'Inputs-Consolidated'!$B$53*12,IF('Inputs-Consolidated'!$C$53="Annually",'Inputs-Consolidated'!$B$53))))</f>
        <v>0</v>
      </c>
      <c r="H34" s="154">
        <f>IF('Inputs-Buy Pork'!$C$50="Daily",'Inputs-Buy Pork'!$B$50*365,IF('Inputs-Buy Pork'!$C$50="Weekly",'Inputs-Buy Pork'!$B$50*52,IF('Inputs-Buy Pork'!$C$50="Monthly",'Inputs-Buy Pork'!$B$50*12,IF('Inputs-Buy Pork'!$C$50="Annually",'Inputs-Buy Pork'!$B$50))))</f>
        <v>0</v>
      </c>
      <c r="I34" s="185">
        <f>IF('Inputs-Buy Beef'!$C$51="Daily",'Inputs-Buy Beef'!$B$51*365,IF('Inputs-Buy Beef'!$C$51="Weekly",'Inputs-Buy Beef'!$B$51*52,IF('Inputs-Buy Beef'!$C$51="Monthly",'Inputs-Buy Beef'!$B$51*12,IF('Inputs-Buy Beef'!$C$51="Annually",'Inputs-Buy Beef'!$B$51))))</f>
        <v>0</v>
      </c>
      <c r="J34" s="45">
        <f>IF('Inputs-Separate'!$C$54="Daily",'Inputs-Separate'!$B$54*365,IF('Inputs-Separate'!$C$54="Weekly",'Inputs-Separate'!$B$54*52,IF('Inputs-Separate'!$C$54="Monthly",'Inputs-Separate'!$B$54*12,IF('Inputs-Separate'!$C$54="Annually",'Inputs-Separate'!$B$54))))</f>
        <v>0</v>
      </c>
      <c r="K34" s="14">
        <f>IF('Inputs-Consolidated'!$C$53="Daily",'Inputs-Consolidated'!$B$53*365,IF('Inputs-Consolidated'!$C$53="Weekly",'Inputs-Consolidated'!$B$53*52,IF('Inputs-Consolidated'!$C$53="Monthly",'Inputs-Consolidated'!$B$53*12,IF('Inputs-Consolidated'!$C$53="Annually",'Inputs-Consolidated'!$B$53))))</f>
        <v>0</v>
      </c>
      <c r="L34" s="154">
        <f>IF('Inputs-Buy Pork'!$C$50="Daily",'Inputs-Buy Pork'!$B$50*365,IF('Inputs-Buy Pork'!$C$50="Weekly",'Inputs-Buy Pork'!$B$50*52,IF('Inputs-Buy Pork'!$C$50="Monthly",'Inputs-Buy Pork'!$B$50*12,IF('Inputs-Buy Pork'!$C$50="Annually",'Inputs-Buy Pork'!$B$50))))</f>
        <v>0</v>
      </c>
      <c r="M34" s="185">
        <f>IF('Inputs-Buy Beef'!$C$51="Daily",'Inputs-Buy Beef'!$B$51*365,IF('Inputs-Buy Beef'!$C$51="Weekly",'Inputs-Buy Beef'!$B$51*52,IF('Inputs-Buy Beef'!$C$51="Monthly",'Inputs-Buy Beef'!$B$51*12,IF('Inputs-Buy Beef'!$C$51="Annually",'Inputs-Buy Beef'!$B$51))))</f>
        <v>0</v>
      </c>
      <c r="N34" s="45">
        <f>IF('Inputs-Separate'!$C$54="Daily",'Inputs-Separate'!$B$54*365,IF('Inputs-Separate'!$C$54="Weekly",'Inputs-Separate'!$B$54*52,IF('Inputs-Separate'!$C$54="Monthly",'Inputs-Separate'!$B$54*12,IF('Inputs-Separate'!$C$54="Annually",'Inputs-Separate'!$B$54))))</f>
        <v>0</v>
      </c>
      <c r="O34" s="14">
        <f>IF('Inputs-Consolidated'!$C$53="Daily",'Inputs-Consolidated'!$B$53*365,IF('Inputs-Consolidated'!$C$53="Weekly",'Inputs-Consolidated'!$B$53*52,IF('Inputs-Consolidated'!$C$53="Monthly",'Inputs-Consolidated'!$B$53*12,IF('Inputs-Consolidated'!$C$53="Annually",'Inputs-Consolidated'!$B$53))))</f>
        <v>0</v>
      </c>
      <c r="P34" s="154">
        <f>IF('Inputs-Buy Pork'!$C$50="Daily",'Inputs-Buy Pork'!$B$50*365,IF('Inputs-Buy Pork'!$C$50="Weekly",'Inputs-Buy Pork'!$B$50*52,IF('Inputs-Buy Pork'!$C$50="Monthly",'Inputs-Buy Pork'!$B$50*12,IF('Inputs-Buy Pork'!$C$50="Annually",'Inputs-Buy Pork'!$B$50))))</f>
        <v>0</v>
      </c>
      <c r="Q34" s="185">
        <f>IF('Inputs-Buy Beef'!$C$51="Daily",'Inputs-Buy Beef'!$B$51*365,IF('Inputs-Buy Beef'!$C$51="Weekly",'Inputs-Buy Beef'!$B$51*52,IF('Inputs-Buy Beef'!$C$51="Monthly",'Inputs-Buy Beef'!$B$51*12,IF('Inputs-Buy Beef'!$C$51="Annually",'Inputs-Buy Beef'!$B$51))))</f>
        <v>0</v>
      </c>
      <c r="R34" s="45">
        <f>IF('Inputs-Separate'!$C$54="Daily",'Inputs-Separate'!$B$54*365,IF('Inputs-Separate'!$C$54="Weekly",'Inputs-Separate'!$B$54*52,IF('Inputs-Separate'!$C$54="Monthly",'Inputs-Separate'!$B$54*12,IF('Inputs-Separate'!$C$54="Annually",'Inputs-Separate'!$B$54))))</f>
        <v>0</v>
      </c>
      <c r="S34" s="14">
        <f>IF('Inputs-Consolidated'!$C$53="Daily",'Inputs-Consolidated'!$B$53*365,IF('Inputs-Consolidated'!$C$53="Weekly",'Inputs-Consolidated'!$B$53*52,IF('Inputs-Consolidated'!$C$53="Monthly",'Inputs-Consolidated'!$B$53*12,IF('Inputs-Consolidated'!$C$53="Annually",'Inputs-Consolidated'!$B$53))))</f>
        <v>0</v>
      </c>
      <c r="T34" s="154">
        <f>IF('Inputs-Buy Pork'!$C$50="Daily",'Inputs-Buy Pork'!$B$50*365,IF('Inputs-Buy Pork'!$C$50="Weekly",'Inputs-Buy Pork'!$B$50*52,IF('Inputs-Buy Pork'!$C$50="Monthly",'Inputs-Buy Pork'!$B$50*12,IF('Inputs-Buy Pork'!$C$50="Annually",'Inputs-Buy Pork'!$B$50))))</f>
        <v>0</v>
      </c>
      <c r="U34" s="185">
        <f>IF('Inputs-Buy Beef'!$C$51="Daily",'Inputs-Buy Beef'!$B$51*365,IF('Inputs-Buy Beef'!$C$51="Weekly",'Inputs-Buy Beef'!$B$51*52,IF('Inputs-Buy Beef'!$C$51="Monthly",'Inputs-Buy Beef'!$B$51*12,IF('Inputs-Buy Beef'!$C$51="Annually",'Inputs-Buy Beef'!$B$51))))</f>
        <v>0</v>
      </c>
    </row>
    <row r="35" spans="1:21" ht="15">
      <c r="A35" s="179" t="str">
        <f>"     Utilities"</f>
        <v xml:space="preserve">     Utilities</v>
      </c>
      <c r="B35" s="45">
        <f>IF('Inputs-Separate'!$C$55="Daily",'Inputs-Separate'!$B$55*365,IF('Inputs-Separate'!$C$55="Weekly",'Inputs-Separate'!$B$55*52,IF('Inputs-Separate'!$C$55="Monthly",'Inputs-Separate'!$B$55*12,IF('Inputs-Separate'!$C$55="Annually",'Inputs-Separate'!$B$55))))</f>
        <v>500</v>
      </c>
      <c r="C35" s="14">
        <f>IF('Inputs-Consolidated'!$C$54="Daily",'Inputs-Consolidated'!$B$54*365,IF('Inputs-Consolidated'!$C$54="Weekly",'Inputs-Consolidated'!$B$54*52,IF('Inputs-Consolidated'!$C$54="Monthly",'Inputs-Consolidated'!$B$54*12,IF('Inputs-Consolidated'!$C$54="Annually",'Inputs-Consolidated'!$B$54))))</f>
        <v>500</v>
      </c>
      <c r="D35" s="154">
        <f>IF('Inputs-Buy Pork'!$C$51="Daily",'Inputs-Buy Pork'!$B$51*365,IF('Inputs-Buy Pork'!$C$51="Weekly",'Inputs-Buy Pork'!$B$51*52,IF('Inputs-Buy Pork'!$C$51="Monthly",'Inputs-Buy Pork'!$B$51*12,IF('Inputs-Buy Pork'!$C$51="Annually",'Inputs-Buy Pork'!$B$51))))</f>
        <v>500</v>
      </c>
      <c r="E35" s="185">
        <f>IF('Inputs-Buy Beef'!$C$52="Daily",'Inputs-Buy Beef'!$B$52*365,IF('Inputs-Buy Beef'!$C$52="Weekly",'Inputs-Buy Beef'!$B$52*52,IF('Inputs-Buy Beef'!$C$52="Monthly",'Inputs-Buy Beef'!$B$52*12,IF('Inputs-Buy Beef'!$C$52="Annually",'Inputs-Buy Beef'!$B$52))))</f>
        <v>500</v>
      </c>
      <c r="F35" s="45">
        <f>IF('Inputs-Separate'!$C$55="Daily",'Inputs-Separate'!$B$55*365,IF('Inputs-Separate'!$C$55="Weekly",'Inputs-Separate'!$B$55*52,IF('Inputs-Separate'!$C$55="Monthly",'Inputs-Separate'!$B$55*12,IF('Inputs-Separate'!$C$55="Annually",'Inputs-Separate'!$B$55))))</f>
        <v>500</v>
      </c>
      <c r="G35" s="14">
        <f>IF('Inputs-Consolidated'!$C$54="Daily",'Inputs-Consolidated'!$B$54*365,IF('Inputs-Consolidated'!$C$54="Weekly",'Inputs-Consolidated'!$B$54*52,IF('Inputs-Consolidated'!$C$54="Monthly",'Inputs-Consolidated'!$B$54*12,IF('Inputs-Consolidated'!$C$54="Annually",'Inputs-Consolidated'!$B$54))))</f>
        <v>500</v>
      </c>
      <c r="H35" s="154">
        <f>IF('Inputs-Buy Pork'!$C$51="Daily",'Inputs-Buy Pork'!$B$51*365,IF('Inputs-Buy Pork'!$C$51="Weekly",'Inputs-Buy Pork'!$B$51*52,IF('Inputs-Buy Pork'!$C$51="Monthly",'Inputs-Buy Pork'!$B$51*12,IF('Inputs-Buy Pork'!$C$51="Annually",'Inputs-Buy Pork'!$B$51))))</f>
        <v>500</v>
      </c>
      <c r="I35" s="185">
        <f>IF('Inputs-Buy Beef'!$C$52="Daily",'Inputs-Buy Beef'!$B$52*365,IF('Inputs-Buy Beef'!$C$52="Weekly",'Inputs-Buy Beef'!$B$52*52,IF('Inputs-Buy Beef'!$C$52="Monthly",'Inputs-Buy Beef'!$B$52*12,IF('Inputs-Buy Beef'!$C$52="Annually",'Inputs-Buy Beef'!$B$52))))</f>
        <v>500</v>
      </c>
      <c r="J35" s="45">
        <f>IF('Inputs-Separate'!$C$55="Daily",'Inputs-Separate'!$B$55*365,IF('Inputs-Separate'!$C$55="Weekly",'Inputs-Separate'!$B$55*52,IF('Inputs-Separate'!$C$55="Monthly",'Inputs-Separate'!$B$55*12,IF('Inputs-Separate'!$C$55="Annually",'Inputs-Separate'!$B$55))))</f>
        <v>500</v>
      </c>
      <c r="K35" s="14">
        <f>IF('Inputs-Consolidated'!$C$54="Daily",'Inputs-Consolidated'!$B$54*365,IF('Inputs-Consolidated'!$C$54="Weekly",'Inputs-Consolidated'!$B$54*52,IF('Inputs-Consolidated'!$C$54="Monthly",'Inputs-Consolidated'!$B$54*12,IF('Inputs-Consolidated'!$C$54="Annually",'Inputs-Consolidated'!$B$54))))</f>
        <v>500</v>
      </c>
      <c r="L35" s="154">
        <f>IF('Inputs-Buy Pork'!$C$51="Daily",'Inputs-Buy Pork'!$B$51*365,IF('Inputs-Buy Pork'!$C$51="Weekly",'Inputs-Buy Pork'!$B$51*52,IF('Inputs-Buy Pork'!$C$51="Monthly",'Inputs-Buy Pork'!$B$51*12,IF('Inputs-Buy Pork'!$C$51="Annually",'Inputs-Buy Pork'!$B$51))))</f>
        <v>500</v>
      </c>
      <c r="M35" s="185">
        <f>IF('Inputs-Buy Beef'!$C$52="Daily",'Inputs-Buy Beef'!$B$52*365,IF('Inputs-Buy Beef'!$C$52="Weekly",'Inputs-Buy Beef'!$B$52*52,IF('Inputs-Buy Beef'!$C$52="Monthly",'Inputs-Buy Beef'!$B$52*12,IF('Inputs-Buy Beef'!$C$52="Annually",'Inputs-Buy Beef'!$B$52))))</f>
        <v>500</v>
      </c>
      <c r="N35" s="45">
        <f>IF('Inputs-Separate'!$C$55="Daily",'Inputs-Separate'!$B$55*365,IF('Inputs-Separate'!$C$55="Weekly",'Inputs-Separate'!$B$55*52,IF('Inputs-Separate'!$C$55="Monthly",'Inputs-Separate'!$B$55*12,IF('Inputs-Separate'!$C$55="Annually",'Inputs-Separate'!$B$55))))</f>
        <v>500</v>
      </c>
      <c r="O35" s="14">
        <f>IF('Inputs-Consolidated'!$C$54="Daily",'Inputs-Consolidated'!$B$54*365,IF('Inputs-Consolidated'!$C$54="Weekly",'Inputs-Consolidated'!$B$54*52,IF('Inputs-Consolidated'!$C$54="Monthly",'Inputs-Consolidated'!$B$54*12,IF('Inputs-Consolidated'!$C$54="Annually",'Inputs-Consolidated'!$B$54))))</f>
        <v>500</v>
      </c>
      <c r="P35" s="154">
        <f>IF('Inputs-Buy Pork'!$C$51="Daily",'Inputs-Buy Pork'!$B$51*365,IF('Inputs-Buy Pork'!$C$51="Weekly",'Inputs-Buy Pork'!$B$51*52,IF('Inputs-Buy Pork'!$C$51="Monthly",'Inputs-Buy Pork'!$B$51*12,IF('Inputs-Buy Pork'!$C$51="Annually",'Inputs-Buy Pork'!$B$51))))</f>
        <v>500</v>
      </c>
      <c r="Q35" s="185">
        <f>IF('Inputs-Buy Beef'!$C$52="Daily",'Inputs-Buy Beef'!$B$52*365,IF('Inputs-Buy Beef'!$C$52="Weekly",'Inputs-Buy Beef'!$B$52*52,IF('Inputs-Buy Beef'!$C$52="Monthly",'Inputs-Buy Beef'!$B$52*12,IF('Inputs-Buy Beef'!$C$52="Annually",'Inputs-Buy Beef'!$B$52))))</f>
        <v>500</v>
      </c>
      <c r="R35" s="45">
        <f>IF('Inputs-Separate'!$C$55="Daily",'Inputs-Separate'!$B$55*365,IF('Inputs-Separate'!$C$55="Weekly",'Inputs-Separate'!$B$55*52,IF('Inputs-Separate'!$C$55="Monthly",'Inputs-Separate'!$B$55*12,IF('Inputs-Separate'!$C$55="Annually",'Inputs-Separate'!$B$55))))</f>
        <v>500</v>
      </c>
      <c r="S35" s="14">
        <f>IF('Inputs-Consolidated'!$C$54="Daily",'Inputs-Consolidated'!$B$54*365,IF('Inputs-Consolidated'!$C$54="Weekly",'Inputs-Consolidated'!$B$54*52,IF('Inputs-Consolidated'!$C$54="Monthly",'Inputs-Consolidated'!$B$54*12,IF('Inputs-Consolidated'!$C$54="Annually",'Inputs-Consolidated'!$B$54))))</f>
        <v>500</v>
      </c>
      <c r="T35" s="154">
        <f>IF('Inputs-Buy Pork'!$C$51="Daily",'Inputs-Buy Pork'!$B$51*365,IF('Inputs-Buy Pork'!$C$51="Weekly",'Inputs-Buy Pork'!$B$51*52,IF('Inputs-Buy Pork'!$C$51="Monthly",'Inputs-Buy Pork'!$B$51*12,IF('Inputs-Buy Pork'!$C$51="Annually",'Inputs-Buy Pork'!$B$51))))</f>
        <v>500</v>
      </c>
      <c r="U35" s="185">
        <f>IF('Inputs-Buy Beef'!$C$52="Daily",'Inputs-Buy Beef'!$B$52*365,IF('Inputs-Buy Beef'!$C$52="Weekly",'Inputs-Buy Beef'!$B$52*52,IF('Inputs-Buy Beef'!$C$52="Monthly",'Inputs-Buy Beef'!$B$52*12,IF('Inputs-Buy Beef'!$C$52="Annually",'Inputs-Buy Beef'!$B$52))))</f>
        <v>500</v>
      </c>
    </row>
    <row r="36" spans="1:21" ht="15.75" thickBot="1">
      <c r="A36" s="179" t="str">
        <f>"     Equipment maintenance"</f>
        <v xml:space="preserve">     Equipment maintenance</v>
      </c>
      <c r="B36" s="46">
        <f>IF('Inputs-Separate'!$C$56="Daily",'Inputs-Separate'!$B$56*365,IF('Inputs-Separate'!$C$56="Weekly",'Inputs-Separate'!$B$56*52,IF('Inputs-Separate'!$C$56="Monthly",'Inputs-Separate'!$B$56*12,IF('Inputs-Separate'!$C$56="Annually",'Inputs-Separate'!$B$56))))</f>
        <v>0</v>
      </c>
      <c r="C36" s="39">
        <f>IF('Inputs-Consolidated'!$C$55="Daily",'Inputs-Consolidated'!$B$55*365,IF('Inputs-Consolidated'!$C$55="Weekly",'Inputs-Consolidated'!$B$55*52,IF('Inputs-Consolidated'!$C$55="Monthly",'Inputs-Consolidated'!$B$55*12,IF('Inputs-Consolidated'!$C$55="Annually",'Inputs-Consolidated'!$B$55))))</f>
        <v>0</v>
      </c>
      <c r="D36" s="155">
        <f>IF('Inputs-Buy Pork'!$C$52="Daily",'Inputs-Buy Pork'!$B$52*365,IF('Inputs-Buy Pork'!$C$52="Weekly",'Inputs-Buy Pork'!$B$52*52,IF('Inputs-Buy Pork'!$C$52="Monthly",'Inputs-Buy Pork'!$B$52*12,IF('Inputs-Buy Pork'!$C$52="Annually",'Inputs-Buy Pork'!$B$52))))</f>
        <v>0</v>
      </c>
      <c r="E36" s="156">
        <f>IF('Inputs-Buy Beef'!$C$53="Daily",'Inputs-Buy Beef'!$B$53*365,IF('Inputs-Buy Beef'!$C$53="Weekly",'Inputs-Buy Beef'!$B$53*52,IF('Inputs-Buy Beef'!$C$53="Monthly",'Inputs-Buy Beef'!$B$53*12,IF('Inputs-Buy Beef'!$C$53="Annually",'Inputs-Buy Beef'!$B$53))))</f>
        <v>0</v>
      </c>
      <c r="F36" s="46">
        <f>IF('Inputs-Separate'!$C$56="Daily",'Inputs-Separate'!$B$56*365,IF('Inputs-Separate'!$C$56="Weekly",'Inputs-Separate'!$B$56*52,IF('Inputs-Separate'!$C$56="Monthly",'Inputs-Separate'!$B$56*12,IF('Inputs-Separate'!$C$56="Annually",'Inputs-Separate'!$B$56))))</f>
        <v>0</v>
      </c>
      <c r="G36" s="39">
        <f>IF('Inputs-Consolidated'!$C$55="Daily",'Inputs-Consolidated'!$B$55*365,IF('Inputs-Consolidated'!$C$55="Weekly",'Inputs-Consolidated'!$B$55*52,IF('Inputs-Consolidated'!$C$55="Monthly",'Inputs-Consolidated'!$B$55*12,IF('Inputs-Consolidated'!$C$55="Annually",'Inputs-Consolidated'!$B$55))))</f>
        <v>0</v>
      </c>
      <c r="H36" s="155">
        <f>IF('Inputs-Buy Pork'!$C$52="Daily",'Inputs-Buy Pork'!$B$52*365,IF('Inputs-Buy Pork'!$C$52="Weekly",'Inputs-Buy Pork'!$B$52*52,IF('Inputs-Buy Pork'!$C$52="Monthly",'Inputs-Buy Pork'!$B$52*12,IF('Inputs-Buy Pork'!$C$52="Annually",'Inputs-Buy Pork'!$B$52))))</f>
        <v>0</v>
      </c>
      <c r="I36" s="156">
        <f>IF('Inputs-Buy Beef'!$C$53="Daily",'Inputs-Buy Beef'!$B$53*365,IF('Inputs-Buy Beef'!$C$53="Weekly",'Inputs-Buy Beef'!$B$53*52,IF('Inputs-Buy Beef'!$C$53="Monthly",'Inputs-Buy Beef'!$B$53*12,IF('Inputs-Buy Beef'!$C$53="Annually",'Inputs-Buy Beef'!$B$53))))</f>
        <v>0</v>
      </c>
      <c r="J36" s="46">
        <f>IF('Inputs-Separate'!$C$56="Daily",'Inputs-Separate'!$B$56*365,IF('Inputs-Separate'!$C$56="Weekly",'Inputs-Separate'!$B$56*52,IF('Inputs-Separate'!$C$56="Monthly",'Inputs-Separate'!$B$56*12,IF('Inputs-Separate'!$C$56="Annually",'Inputs-Separate'!$B$56))))</f>
        <v>0</v>
      </c>
      <c r="K36" s="39">
        <f>IF('Inputs-Consolidated'!$C$55="Daily",'Inputs-Consolidated'!$B$55*365,IF('Inputs-Consolidated'!$C$55="Weekly",'Inputs-Consolidated'!$B$55*52,IF('Inputs-Consolidated'!$C$55="Monthly",'Inputs-Consolidated'!$B$55*12,IF('Inputs-Consolidated'!$C$55="Annually",'Inputs-Consolidated'!$B$55))))</f>
        <v>0</v>
      </c>
      <c r="L36" s="155">
        <f>IF('Inputs-Buy Pork'!$C$52="Daily",'Inputs-Buy Pork'!$B$52*365,IF('Inputs-Buy Pork'!$C$52="Weekly",'Inputs-Buy Pork'!$B$52*52,IF('Inputs-Buy Pork'!$C$52="Monthly",'Inputs-Buy Pork'!$B$52*12,IF('Inputs-Buy Pork'!$C$52="Annually",'Inputs-Buy Pork'!$B$52))))</f>
        <v>0</v>
      </c>
      <c r="M36" s="156">
        <f>IF('Inputs-Buy Beef'!$C$53="Daily",'Inputs-Buy Beef'!$B$53*365,IF('Inputs-Buy Beef'!$C$53="Weekly",'Inputs-Buy Beef'!$B$53*52,IF('Inputs-Buy Beef'!$C$53="Monthly",'Inputs-Buy Beef'!$B$53*12,IF('Inputs-Buy Beef'!$C$53="Annually",'Inputs-Buy Beef'!$B$53))))</f>
        <v>0</v>
      </c>
      <c r="N36" s="46">
        <f>IF('Inputs-Separate'!$C$56="Daily",'Inputs-Separate'!$B$56*365,IF('Inputs-Separate'!$C$56="Weekly",'Inputs-Separate'!$B$56*52,IF('Inputs-Separate'!$C$56="Monthly",'Inputs-Separate'!$B$56*12,IF('Inputs-Separate'!$C$56="Annually",'Inputs-Separate'!$B$56))))</f>
        <v>0</v>
      </c>
      <c r="O36" s="39">
        <f>IF('Inputs-Consolidated'!$C$55="Daily",'Inputs-Consolidated'!$B$55*365,IF('Inputs-Consolidated'!$C$55="Weekly",'Inputs-Consolidated'!$B$55*52,IF('Inputs-Consolidated'!$C$55="Monthly",'Inputs-Consolidated'!$B$55*12,IF('Inputs-Consolidated'!$C$55="Annually",'Inputs-Consolidated'!$B$55))))</f>
        <v>0</v>
      </c>
      <c r="P36" s="155">
        <f>IF('Inputs-Buy Pork'!$C$52="Daily",'Inputs-Buy Pork'!$B$52*365,IF('Inputs-Buy Pork'!$C$52="Weekly",'Inputs-Buy Pork'!$B$52*52,IF('Inputs-Buy Pork'!$C$52="Monthly",'Inputs-Buy Pork'!$B$52*12,IF('Inputs-Buy Pork'!$C$52="Annually",'Inputs-Buy Pork'!$B$52))))</f>
        <v>0</v>
      </c>
      <c r="Q36" s="156">
        <f>IF('Inputs-Buy Beef'!$C$53="Daily",'Inputs-Buy Beef'!$B$53*365,IF('Inputs-Buy Beef'!$C$53="Weekly",'Inputs-Buy Beef'!$B$53*52,IF('Inputs-Buy Beef'!$C$53="Monthly",'Inputs-Buy Beef'!$B$53*12,IF('Inputs-Buy Beef'!$C$53="Annually",'Inputs-Buy Beef'!$B$53))))</f>
        <v>0</v>
      </c>
      <c r="R36" s="46">
        <f>IF('Inputs-Separate'!$C$56="Daily",'Inputs-Separate'!$B$56*365,IF('Inputs-Separate'!$C$56="Weekly",'Inputs-Separate'!$B$56*52,IF('Inputs-Separate'!$C$56="Monthly",'Inputs-Separate'!$B$56*12,IF('Inputs-Separate'!$C$56="Annually",'Inputs-Separate'!$B$56))))</f>
        <v>0</v>
      </c>
      <c r="S36" s="39">
        <f>IF('Inputs-Consolidated'!$C$55="Daily",'Inputs-Consolidated'!$B$55*365,IF('Inputs-Consolidated'!$C$55="Weekly",'Inputs-Consolidated'!$B$55*52,IF('Inputs-Consolidated'!$C$55="Monthly",'Inputs-Consolidated'!$B$55*12,IF('Inputs-Consolidated'!$C$55="Annually",'Inputs-Consolidated'!$B$55))))</f>
        <v>0</v>
      </c>
      <c r="T36" s="155">
        <f>IF('Inputs-Buy Pork'!$C$52="Daily",'Inputs-Buy Pork'!$B$52*365,IF('Inputs-Buy Pork'!$C$52="Weekly",'Inputs-Buy Pork'!$B$52*52,IF('Inputs-Buy Pork'!$C$52="Monthly",'Inputs-Buy Pork'!$B$52*12,IF('Inputs-Buy Pork'!$C$52="Annually",'Inputs-Buy Pork'!$B$52))))</f>
        <v>0</v>
      </c>
      <c r="U36" s="156">
        <f>IF('Inputs-Buy Beef'!$C$53="Daily",'Inputs-Buy Beef'!$B$53*365,IF('Inputs-Buy Beef'!$C$53="Weekly",'Inputs-Buy Beef'!$B$53*52,IF('Inputs-Buy Beef'!$C$53="Monthly",'Inputs-Buy Beef'!$B$53*12,IF('Inputs-Buy Beef'!$C$53="Annually",'Inputs-Buy Beef'!$B$53))))</f>
        <v>0</v>
      </c>
    </row>
    <row r="37" spans="1:21" ht="15">
      <c r="A37" s="178" t="s">
        <v>9</v>
      </c>
      <c r="B37" s="106">
        <f aca="true" t="shared" si="4" ref="B37:T37">SUM(B32:B36)</f>
        <v>628</v>
      </c>
      <c r="C37" s="107">
        <f t="shared" si="4"/>
        <v>628</v>
      </c>
      <c r="D37" s="188">
        <f t="shared" si="4"/>
        <v>628</v>
      </c>
      <c r="E37" s="196">
        <f>SUM(E32:E36)</f>
        <v>628</v>
      </c>
      <c r="F37" s="106">
        <f t="shared" si="4"/>
        <v>628</v>
      </c>
      <c r="G37" s="107">
        <f t="shared" si="4"/>
        <v>628</v>
      </c>
      <c r="H37" s="188">
        <f t="shared" si="4"/>
        <v>628</v>
      </c>
      <c r="I37" s="196">
        <f>SUM(I32:I36)</f>
        <v>628</v>
      </c>
      <c r="J37" s="106">
        <f t="shared" si="4"/>
        <v>628</v>
      </c>
      <c r="K37" s="107">
        <f t="shared" si="4"/>
        <v>628</v>
      </c>
      <c r="L37" s="188">
        <f t="shared" si="4"/>
        <v>628</v>
      </c>
      <c r="M37" s="196">
        <f>SUM(M32:M36)</f>
        <v>628</v>
      </c>
      <c r="N37" s="106">
        <f t="shared" si="4"/>
        <v>628</v>
      </c>
      <c r="O37" s="107">
        <f t="shared" si="4"/>
        <v>628</v>
      </c>
      <c r="P37" s="188">
        <f t="shared" si="4"/>
        <v>628</v>
      </c>
      <c r="Q37" s="196">
        <f>SUM(Q32:Q36)</f>
        <v>628</v>
      </c>
      <c r="R37" s="106">
        <f t="shared" si="4"/>
        <v>628</v>
      </c>
      <c r="S37" s="107">
        <f t="shared" si="4"/>
        <v>628</v>
      </c>
      <c r="T37" s="188">
        <f t="shared" si="4"/>
        <v>628</v>
      </c>
      <c r="U37" s="196">
        <f>SUM(U32:U36)</f>
        <v>628</v>
      </c>
    </row>
    <row r="38" spans="1:21" ht="15">
      <c r="A38" s="179"/>
      <c r="B38" s="45"/>
      <c r="C38" s="14"/>
      <c r="D38" s="154"/>
      <c r="E38" s="185"/>
      <c r="F38" s="45"/>
      <c r="G38" s="14"/>
      <c r="H38" s="154"/>
      <c r="I38" s="185"/>
      <c r="J38" s="45"/>
      <c r="K38" s="14"/>
      <c r="L38" s="154"/>
      <c r="M38" s="185"/>
      <c r="N38" s="45"/>
      <c r="O38" s="14"/>
      <c r="P38" s="154"/>
      <c r="Q38" s="185"/>
      <c r="R38" s="45"/>
      <c r="S38" s="14"/>
      <c r="T38" s="154"/>
      <c r="U38" s="185"/>
    </row>
    <row r="39" spans="1:21" ht="15">
      <c r="A39" s="178" t="s">
        <v>10</v>
      </c>
      <c r="B39" s="108">
        <f>SUM(B29+B37)</f>
        <v>1328</v>
      </c>
      <c r="C39" s="109">
        <f aca="true" t="shared" si="5" ref="C39:T39">SUM(C29+C37)</f>
        <v>1328</v>
      </c>
      <c r="D39" s="186">
        <f t="shared" si="5"/>
        <v>1328</v>
      </c>
      <c r="E39" s="191">
        <f t="shared" si="5"/>
        <v>1328</v>
      </c>
      <c r="F39" s="108">
        <f t="shared" si="5"/>
        <v>1328</v>
      </c>
      <c r="G39" s="109">
        <f t="shared" si="5"/>
        <v>1328</v>
      </c>
      <c r="H39" s="186">
        <f t="shared" si="5"/>
        <v>1328</v>
      </c>
      <c r="I39" s="191">
        <f aca="true" t="shared" si="6" ref="I39">SUM(I29+I37)</f>
        <v>1328</v>
      </c>
      <c r="J39" s="108">
        <f t="shared" si="5"/>
        <v>1328</v>
      </c>
      <c r="K39" s="109">
        <f t="shared" si="5"/>
        <v>1328</v>
      </c>
      <c r="L39" s="186">
        <f t="shared" si="5"/>
        <v>1328</v>
      </c>
      <c r="M39" s="191">
        <f t="shared" si="5"/>
        <v>1328</v>
      </c>
      <c r="N39" s="108">
        <f t="shared" si="5"/>
        <v>1328</v>
      </c>
      <c r="O39" s="109">
        <f t="shared" si="5"/>
        <v>1328</v>
      </c>
      <c r="P39" s="186">
        <f t="shared" si="5"/>
        <v>1328</v>
      </c>
      <c r="Q39" s="191">
        <f t="shared" si="5"/>
        <v>1328</v>
      </c>
      <c r="R39" s="108">
        <f t="shared" si="5"/>
        <v>1328</v>
      </c>
      <c r="S39" s="109">
        <f t="shared" si="5"/>
        <v>1328</v>
      </c>
      <c r="T39" s="186">
        <f t="shared" si="5"/>
        <v>1328</v>
      </c>
      <c r="U39" s="191">
        <f aca="true" t="shared" si="7" ref="U39">SUM(U29+U37)</f>
        <v>1328</v>
      </c>
    </row>
    <row r="40" spans="1:21" ht="15">
      <c r="A40" s="179"/>
      <c r="B40" s="45"/>
      <c r="C40" s="14"/>
      <c r="D40" s="154"/>
      <c r="E40" s="185"/>
      <c r="F40" s="45"/>
      <c r="G40" s="14"/>
      <c r="H40" s="154"/>
      <c r="I40" s="185"/>
      <c r="J40" s="45"/>
      <c r="K40" s="14"/>
      <c r="L40" s="154"/>
      <c r="M40" s="185"/>
      <c r="N40" s="45"/>
      <c r="O40" s="14"/>
      <c r="P40" s="154"/>
      <c r="Q40" s="185"/>
      <c r="R40" s="45"/>
      <c r="S40" s="14"/>
      <c r="T40" s="154"/>
      <c r="U40" s="185"/>
    </row>
    <row r="41" spans="1:21" ht="15">
      <c r="A41" s="179" t="s">
        <v>158</v>
      </c>
      <c r="B41" s="45">
        <f aca="true" t="shared" si="8" ref="B41:T41">B21-B39</f>
        <v>1824.333019300063</v>
      </c>
      <c r="C41" s="14">
        <f t="shared" si="8"/>
        <v>1932.4102286302132</v>
      </c>
      <c r="D41" s="154">
        <f t="shared" si="8"/>
        <v>2435.978547755348</v>
      </c>
      <c r="E41" s="185">
        <f t="shared" si="8"/>
        <v>4201.317508754221</v>
      </c>
      <c r="F41" s="45">
        <f t="shared" si="8"/>
        <v>937.8664154400512</v>
      </c>
      <c r="G41" s="14">
        <f t="shared" si="8"/>
        <v>1024.3281829041707</v>
      </c>
      <c r="H41" s="154">
        <f t="shared" si="8"/>
        <v>1427.1828382042786</v>
      </c>
      <c r="I41" s="185">
        <f aca="true" t="shared" si="9" ref="I41">I21-I39</f>
        <v>2839.4546470033783</v>
      </c>
      <c r="J41" s="45">
        <f t="shared" si="8"/>
        <v>51.39981158003866</v>
      </c>
      <c r="K41" s="14">
        <f t="shared" si="8"/>
        <v>116.24613717812827</v>
      </c>
      <c r="L41" s="154">
        <f t="shared" si="8"/>
        <v>418.3871286532085</v>
      </c>
      <c r="M41" s="185">
        <f t="shared" si="8"/>
        <v>1477.5917852525326</v>
      </c>
      <c r="N41" s="45">
        <f t="shared" si="8"/>
        <v>-835.0667922799744</v>
      </c>
      <c r="O41" s="14">
        <f t="shared" si="8"/>
        <v>-791.8359085479146</v>
      </c>
      <c r="P41" s="154">
        <f t="shared" si="8"/>
        <v>-590.4085808978607</v>
      </c>
      <c r="Q41" s="185">
        <f t="shared" si="8"/>
        <v>115.72892350168922</v>
      </c>
      <c r="R41" s="45">
        <f t="shared" si="8"/>
        <v>-1721.5333961399874</v>
      </c>
      <c r="S41" s="14">
        <f t="shared" si="8"/>
        <v>-1699.9179542739575</v>
      </c>
      <c r="T41" s="154">
        <f t="shared" si="8"/>
        <v>-1599.2042904489304</v>
      </c>
      <c r="U41" s="185">
        <f aca="true" t="shared" si="10" ref="U41">U21-U39</f>
        <v>-1246.133938249156</v>
      </c>
    </row>
    <row r="42" spans="1:21" ht="15.75" thickBot="1">
      <c r="A42" s="179" t="str">
        <f>"     Taxes on income"</f>
        <v xml:space="preserve">     Taxes on income</v>
      </c>
      <c r="B42" s="86">
        <f>'Inputs-Separate'!$B$59*'Pro Forma Income-Meatballs'!B41</f>
        <v>0</v>
      </c>
      <c r="C42" s="39">
        <f>'Inputs-Consolidated'!$B$58*'Pro Forma Income-Meatballs'!C41</f>
        <v>0</v>
      </c>
      <c r="D42" s="155">
        <f>'Inputs-Buy Pork'!$B$55*'Pro Forma Income-Meatballs'!D41</f>
        <v>0</v>
      </c>
      <c r="E42" s="156">
        <f>'Inputs-Buy Beef'!$B$56*E41</f>
        <v>0</v>
      </c>
      <c r="F42" s="86">
        <f>'Inputs-Separate'!$B$59*'Pro Forma Income-Meatballs'!E41</f>
        <v>0</v>
      </c>
      <c r="G42" s="39">
        <f>'Inputs-Consolidated'!$B$58*'Pro Forma Income-Meatballs'!F41</f>
        <v>0</v>
      </c>
      <c r="H42" s="155">
        <f>'Inputs-Buy Pork'!$B$55*'Pro Forma Income-Meatballs'!G41</f>
        <v>0</v>
      </c>
      <c r="I42" s="156">
        <f>'Inputs-Buy Beef'!$B$56*I41</f>
        <v>0</v>
      </c>
      <c r="J42" s="86">
        <f>'Inputs-Separate'!$B$59*'Pro Forma Income-Meatballs'!H41</f>
        <v>0</v>
      </c>
      <c r="K42" s="39">
        <f>'Inputs-Consolidated'!$B$58*'Pro Forma Income-Meatballs'!I41</f>
        <v>0</v>
      </c>
      <c r="L42" s="155">
        <f>'Inputs-Buy Pork'!$B$55*'Pro Forma Income-Meatballs'!J41</f>
        <v>0</v>
      </c>
      <c r="M42" s="156">
        <f>'Inputs-Buy Beef'!$B$56*M41</f>
        <v>0</v>
      </c>
      <c r="N42" s="86">
        <f>'Inputs-Separate'!$B$59*'Pro Forma Income-Meatballs'!K41</f>
        <v>0</v>
      </c>
      <c r="O42" s="39">
        <f>'Inputs-Consolidated'!$B$58*'Pro Forma Income-Meatballs'!L41</f>
        <v>0</v>
      </c>
      <c r="P42" s="155">
        <f>'Inputs-Buy Pork'!$B$55*'Pro Forma Income-Meatballs'!M41</f>
        <v>0</v>
      </c>
      <c r="Q42" s="156">
        <f>'Inputs-Buy Beef'!$B$56*Q41</f>
        <v>0</v>
      </c>
      <c r="R42" s="86">
        <f>'Inputs-Separate'!$B$59*'Pro Forma Income-Meatballs'!N41</f>
        <v>0</v>
      </c>
      <c r="S42" s="39">
        <f>'Inputs-Consolidated'!$B$58*'Pro Forma Income-Meatballs'!O41</f>
        <v>0</v>
      </c>
      <c r="T42" s="155">
        <f>'Inputs-Buy Pork'!$B$55*'Pro Forma Income-Meatballs'!P41</f>
        <v>0</v>
      </c>
      <c r="U42" s="156">
        <f>'Inputs-Buy Beef'!$B$56*U41</f>
        <v>0</v>
      </c>
    </row>
    <row r="43" spans="1:21" ht="15">
      <c r="A43" s="179" t="s">
        <v>159</v>
      </c>
      <c r="B43" s="115">
        <f aca="true" t="shared" si="11" ref="B43:T43">B41-B42</f>
        <v>1824.333019300063</v>
      </c>
      <c r="C43" s="116">
        <f t="shared" si="11"/>
        <v>1932.4102286302132</v>
      </c>
      <c r="D43" s="194">
        <f t="shared" si="11"/>
        <v>2435.978547755348</v>
      </c>
      <c r="E43" s="195">
        <f t="shared" si="11"/>
        <v>4201.317508754221</v>
      </c>
      <c r="F43" s="115">
        <f t="shared" si="11"/>
        <v>937.8664154400512</v>
      </c>
      <c r="G43" s="116">
        <f t="shared" si="11"/>
        <v>1024.3281829041707</v>
      </c>
      <c r="H43" s="194">
        <f t="shared" si="11"/>
        <v>1427.1828382042786</v>
      </c>
      <c r="I43" s="195">
        <f aca="true" t="shared" si="12" ref="I43">I41-I42</f>
        <v>2839.4546470033783</v>
      </c>
      <c r="J43" s="115">
        <f t="shared" si="11"/>
        <v>51.39981158003866</v>
      </c>
      <c r="K43" s="116">
        <f t="shared" si="11"/>
        <v>116.24613717812827</v>
      </c>
      <c r="L43" s="194">
        <f t="shared" si="11"/>
        <v>418.3871286532085</v>
      </c>
      <c r="M43" s="195">
        <f t="shared" si="11"/>
        <v>1477.5917852525326</v>
      </c>
      <c r="N43" s="115">
        <f t="shared" si="11"/>
        <v>-835.0667922799744</v>
      </c>
      <c r="O43" s="116">
        <f t="shared" si="11"/>
        <v>-791.8359085479146</v>
      </c>
      <c r="P43" s="194">
        <f t="shared" si="11"/>
        <v>-590.4085808978607</v>
      </c>
      <c r="Q43" s="195">
        <f t="shared" si="11"/>
        <v>115.72892350168922</v>
      </c>
      <c r="R43" s="115">
        <f t="shared" si="11"/>
        <v>-1721.5333961399874</v>
      </c>
      <c r="S43" s="116">
        <f t="shared" si="11"/>
        <v>-1699.9179542739575</v>
      </c>
      <c r="T43" s="194">
        <f t="shared" si="11"/>
        <v>-1599.2042904489304</v>
      </c>
      <c r="U43" s="195">
        <f aca="true" t="shared" si="13" ref="U43">U41-U42</f>
        <v>-1246.133938249156</v>
      </c>
    </row>
    <row r="44" spans="1:21" ht="15">
      <c r="A44" s="179"/>
      <c r="B44" s="45"/>
      <c r="C44" s="14"/>
      <c r="D44" s="154"/>
      <c r="E44" s="185"/>
      <c r="F44" s="45"/>
      <c r="G44" s="14"/>
      <c r="H44" s="154"/>
      <c r="I44" s="185"/>
      <c r="J44" s="45"/>
      <c r="K44" s="14"/>
      <c r="L44" s="154"/>
      <c r="M44" s="185"/>
      <c r="N44" s="45"/>
      <c r="O44" s="14"/>
      <c r="P44" s="154"/>
      <c r="Q44" s="185"/>
      <c r="R44" s="45"/>
      <c r="S44" s="14"/>
      <c r="T44" s="154"/>
      <c r="U44" s="185"/>
    </row>
    <row r="45" spans="1:21" ht="15">
      <c r="A45" s="179" t="s">
        <v>11</v>
      </c>
      <c r="B45" s="45">
        <f>'Inputs-Separate'!$B$60</f>
        <v>0</v>
      </c>
      <c r="C45" s="14">
        <f>'Inputs-Consolidated'!$B$59</f>
        <v>0</v>
      </c>
      <c r="D45" s="154">
        <f>'Inputs-Buy Pork'!$B$56</f>
        <v>0</v>
      </c>
      <c r="E45" s="185">
        <f>'Inputs-Buy Beef'!$B$57</f>
        <v>0</v>
      </c>
      <c r="F45" s="45">
        <f>'Inputs-Separate'!$B$60</f>
        <v>0</v>
      </c>
      <c r="G45" s="14">
        <f>'Inputs-Consolidated'!$B$59</f>
        <v>0</v>
      </c>
      <c r="H45" s="154">
        <f>'Inputs-Buy Pork'!$B$56</f>
        <v>0</v>
      </c>
      <c r="I45" s="185">
        <f>'Inputs-Buy Beef'!$B$57</f>
        <v>0</v>
      </c>
      <c r="J45" s="45">
        <f>'Inputs-Separate'!$B$60</f>
        <v>0</v>
      </c>
      <c r="K45" s="14">
        <f>'Inputs-Consolidated'!$B$59</f>
        <v>0</v>
      </c>
      <c r="L45" s="154">
        <f>'Inputs-Buy Pork'!$B$56</f>
        <v>0</v>
      </c>
      <c r="M45" s="185">
        <f>'Inputs-Buy Beef'!$B$57</f>
        <v>0</v>
      </c>
      <c r="N45" s="45">
        <f>'Inputs-Separate'!$B$60</f>
        <v>0</v>
      </c>
      <c r="O45" s="14">
        <f>'Inputs-Consolidated'!$B$59</f>
        <v>0</v>
      </c>
      <c r="P45" s="154">
        <f>'Inputs-Buy Pork'!$B$56</f>
        <v>0</v>
      </c>
      <c r="Q45" s="185">
        <f>'Inputs-Buy Beef'!$B$57</f>
        <v>0</v>
      </c>
      <c r="R45" s="45">
        <f>'Inputs-Separate'!$B$60</f>
        <v>0</v>
      </c>
      <c r="S45" s="14">
        <f>'Inputs-Consolidated'!$B$59</f>
        <v>0</v>
      </c>
      <c r="T45" s="154">
        <f>'Inputs-Buy Pork'!$B$56</f>
        <v>0</v>
      </c>
      <c r="U45" s="185">
        <f>'Inputs-Buy Beef'!$B$57</f>
        <v>0</v>
      </c>
    </row>
    <row r="46" spans="1:21" ht="15">
      <c r="A46" s="179" t="s">
        <v>12</v>
      </c>
      <c r="B46" s="45">
        <f>'Inputs-Separate'!$B$59*B45</f>
        <v>0</v>
      </c>
      <c r="C46" s="14">
        <f>'Inputs-Consolidated'!$B$58*C45</f>
        <v>0</v>
      </c>
      <c r="D46" s="154">
        <f>'Inputs-Buy Pork'!$B$55*D45</f>
        <v>0</v>
      </c>
      <c r="E46" s="185">
        <f>'Inputs-Buy Beef'!$B$56*E45</f>
        <v>0</v>
      </c>
      <c r="F46" s="45">
        <f>'Inputs-Separate'!$B$59*F45</f>
        <v>0</v>
      </c>
      <c r="G46" s="14">
        <f>'Inputs-Consolidated'!$B$58*G45</f>
        <v>0</v>
      </c>
      <c r="H46" s="154">
        <f>'Inputs-Buy Pork'!$B$55*H45</f>
        <v>0</v>
      </c>
      <c r="I46" s="185">
        <f>'Inputs-Buy Beef'!$B$56*I45</f>
        <v>0</v>
      </c>
      <c r="J46" s="45">
        <f>'Inputs-Separate'!$B$59*J45</f>
        <v>0</v>
      </c>
      <c r="K46" s="14">
        <f>'Inputs-Consolidated'!$B$58*K45</f>
        <v>0</v>
      </c>
      <c r="L46" s="154">
        <f>'Inputs-Buy Pork'!$B$55*L45</f>
        <v>0</v>
      </c>
      <c r="M46" s="185">
        <f>'Inputs-Buy Beef'!$B$56*M45</f>
        <v>0</v>
      </c>
      <c r="N46" s="45">
        <f>'Inputs-Separate'!$B$59*N45</f>
        <v>0</v>
      </c>
      <c r="O46" s="14">
        <f>'Inputs-Consolidated'!$B$58*O45</f>
        <v>0</v>
      </c>
      <c r="P46" s="154">
        <f>'Inputs-Buy Pork'!$B$55*P45</f>
        <v>0</v>
      </c>
      <c r="Q46" s="185">
        <f>'Inputs-Buy Beef'!$B$56*Q45</f>
        <v>0</v>
      </c>
      <c r="R46" s="45">
        <f>'Inputs-Separate'!$B$59*R45</f>
        <v>0</v>
      </c>
      <c r="S46" s="14">
        <f>'Inputs-Consolidated'!$B$58*S45</f>
        <v>0</v>
      </c>
      <c r="T46" s="154">
        <f>'Inputs-Buy Pork'!$B$55*T45</f>
        <v>0</v>
      </c>
      <c r="U46" s="185">
        <f>'Inputs-Buy Beef'!$B$56*U45</f>
        <v>0</v>
      </c>
    </row>
    <row r="47" spans="1:21" ht="15">
      <c r="A47" s="179"/>
      <c r="B47" s="45"/>
      <c r="C47" s="14"/>
      <c r="D47" s="154"/>
      <c r="E47" s="185"/>
      <c r="F47" s="45"/>
      <c r="G47" s="14"/>
      <c r="H47" s="154"/>
      <c r="I47" s="185"/>
      <c r="J47" s="45"/>
      <c r="K47" s="14"/>
      <c r="L47" s="154"/>
      <c r="M47" s="185"/>
      <c r="N47" s="45"/>
      <c r="O47" s="14"/>
      <c r="P47" s="154"/>
      <c r="Q47" s="185"/>
      <c r="R47" s="45"/>
      <c r="S47" s="14"/>
      <c r="T47" s="154"/>
      <c r="U47" s="185"/>
    </row>
    <row r="48" spans="1:21" ht="15.75" thickBot="1">
      <c r="A48" s="190" t="s">
        <v>13</v>
      </c>
      <c r="B48" s="113">
        <f aca="true" t="shared" si="14" ref="B48:T48">B43-B45-B46</f>
        <v>1824.333019300063</v>
      </c>
      <c r="C48" s="114">
        <f t="shared" si="14"/>
        <v>1932.4102286302132</v>
      </c>
      <c r="D48" s="189">
        <f t="shared" si="14"/>
        <v>2435.978547755348</v>
      </c>
      <c r="E48" s="193">
        <f t="shared" si="14"/>
        <v>4201.317508754221</v>
      </c>
      <c r="F48" s="113">
        <f t="shared" si="14"/>
        <v>937.8664154400512</v>
      </c>
      <c r="G48" s="114">
        <f t="shared" si="14"/>
        <v>1024.3281829041707</v>
      </c>
      <c r="H48" s="189">
        <f t="shared" si="14"/>
        <v>1427.1828382042786</v>
      </c>
      <c r="I48" s="193">
        <f aca="true" t="shared" si="15" ref="I48">I43-I45-I46</f>
        <v>2839.4546470033783</v>
      </c>
      <c r="J48" s="113">
        <f t="shared" si="14"/>
        <v>51.39981158003866</v>
      </c>
      <c r="K48" s="114">
        <f t="shared" si="14"/>
        <v>116.24613717812827</v>
      </c>
      <c r="L48" s="189">
        <f t="shared" si="14"/>
        <v>418.3871286532085</v>
      </c>
      <c r="M48" s="193">
        <f t="shared" si="14"/>
        <v>1477.5917852525326</v>
      </c>
      <c r="N48" s="113">
        <f t="shared" si="14"/>
        <v>-835.0667922799744</v>
      </c>
      <c r="O48" s="114">
        <f t="shared" si="14"/>
        <v>-791.8359085479146</v>
      </c>
      <c r="P48" s="189">
        <f t="shared" si="14"/>
        <v>-590.4085808978607</v>
      </c>
      <c r="Q48" s="193">
        <f t="shared" si="14"/>
        <v>115.72892350168922</v>
      </c>
      <c r="R48" s="113">
        <f t="shared" si="14"/>
        <v>-1721.5333961399874</v>
      </c>
      <c r="S48" s="114">
        <f t="shared" si="14"/>
        <v>-1699.9179542739575</v>
      </c>
      <c r="T48" s="189">
        <f t="shared" si="14"/>
        <v>-1599.2042904489304</v>
      </c>
      <c r="U48" s="193">
        <f aca="true" t="shared" si="16" ref="U48">U43-U45-U46</f>
        <v>-1246.133938249156</v>
      </c>
    </row>
    <row r="49" spans="1:17" ht="15">
      <c r="A49" s="1"/>
      <c r="B49" s="1"/>
      <c r="C49" s="1"/>
      <c r="D49" s="1"/>
      <c r="E49" s="1"/>
      <c r="F49" s="1"/>
      <c r="G49" s="1"/>
      <c r="H49" s="1"/>
      <c r="I49" s="1"/>
      <c r="J49" s="1"/>
      <c r="K49" s="1"/>
      <c r="L49" s="1"/>
      <c r="M49" s="1"/>
      <c r="N49" s="1"/>
      <c r="O49" s="1"/>
      <c r="P49" s="1"/>
      <c r="Q49" s="1"/>
    </row>
  </sheetData>
  <mergeCells count="9">
    <mergeCell ref="W1:AA1"/>
    <mergeCell ref="A1:U1"/>
    <mergeCell ref="A2:U2"/>
    <mergeCell ref="B3:D3"/>
    <mergeCell ref="B4:E4"/>
    <mergeCell ref="F4:I4"/>
    <mergeCell ref="J4:M4"/>
    <mergeCell ref="N4:Q4"/>
    <mergeCell ref="R4:U4"/>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topLeftCell="A32">
      <selection activeCell="D50" sqref="D50"/>
    </sheetView>
  </sheetViews>
  <sheetFormatPr defaultColWidth="8.8515625" defaultRowHeight="15"/>
  <cols>
    <col min="1" max="1" width="36.140625" style="0" bestFit="1" customWidth="1"/>
    <col min="2" max="2" width="18.421875" style="0" bestFit="1" customWidth="1"/>
    <col min="3" max="3" width="22.421875" style="0" bestFit="1" customWidth="1"/>
    <col min="4" max="4" width="25.00390625" style="0" bestFit="1" customWidth="1"/>
    <col min="5" max="5" width="11.28125" style="0" customWidth="1"/>
  </cols>
  <sheetData>
    <row r="1" spans="1:5" ht="18">
      <c r="A1" s="213" t="s">
        <v>14</v>
      </c>
      <c r="B1" s="213"/>
      <c r="C1" s="213"/>
      <c r="D1" s="213"/>
      <c r="E1" s="213"/>
    </row>
    <row r="2" spans="1:5" ht="15">
      <c r="A2" s="215" t="s">
        <v>126</v>
      </c>
      <c r="B2" s="215"/>
      <c r="C2" s="215"/>
      <c r="D2" s="215"/>
      <c r="E2" s="215"/>
    </row>
    <row r="3" spans="1:5" ht="15">
      <c r="A3" s="215" t="s">
        <v>144</v>
      </c>
      <c r="B3" s="215"/>
      <c r="C3" s="215"/>
      <c r="D3" s="215"/>
      <c r="E3" s="215"/>
    </row>
    <row r="4" spans="1:4" ht="15">
      <c r="A4" s="1"/>
      <c r="B4" s="1"/>
      <c r="C4" s="1"/>
      <c r="D4" s="1"/>
    </row>
    <row r="5" spans="1:5" ht="15">
      <c r="A5" s="2" t="s">
        <v>1</v>
      </c>
      <c r="B5" s="69" t="s">
        <v>138</v>
      </c>
      <c r="C5" s="70" t="s">
        <v>155</v>
      </c>
      <c r="D5" s="71" t="s">
        <v>154</v>
      </c>
      <c r="E5" s="174" t="s">
        <v>178</v>
      </c>
    </row>
    <row r="6" spans="1:5" ht="15">
      <c r="A6" s="1" t="s">
        <v>156</v>
      </c>
      <c r="B6" s="120">
        <f>(1-'Inputs-Separate'!$B$2)*('Inputs-Separate'!$G$4*'Inputs-Separate'!$B$5+'Inputs-Separate'!$G$5*'Inputs-Separate'!$B$8+'Inputs-Separate'!$G$6*'Inputs-Separate'!$B$11)+('Inputs-Separate'!$B$17*'Inputs-Separate'!$B$20*(1-'Inputs-Separate'!$B$61))+('Inputs-Separate'!$G$9*'Inputs-Separate'!$B$26*'Inputs-Separate'!$B$17*(1-'Inputs-Separate'!$B$62))</f>
        <v>16979.066666666666</v>
      </c>
      <c r="C6" s="120">
        <f>(1-'Inputs-Consolidated'!$B$2)*('Inputs-Consolidated'!$G$4*'Inputs-Consolidated'!$B$5+'Inputs-Consolidated'!$G$5*'Inputs-Consolidated'!$B$8+'Inputs-Consolidated'!$G$6*'Inputs-Consolidated'!$B$11)+('Inputs-Consolidated'!$B$17*'Inputs-Consolidated'!$B$20*(1-'Inputs-Consolidated'!$B$60))+('Inputs-Consolidated'!$G$9*'Inputs-Consolidated'!$B$26*'Inputs-Consolidated'!$B$17*(1-'Inputs-Consolidated'!$B$61))</f>
        <v>16979.066666666666</v>
      </c>
      <c r="D6" s="120">
        <f>(1-'Inputs-Buy Pork'!$B$2)*('Inputs-Buy Pork'!$G$4*'Inputs-Buy Pork'!$B$5+'Inputs-Buy Pork'!$G$5*'Inputs-Buy Pork'!$B$8+'Inputs-Buy Pork'!$G$6*'Inputs-Buy Pork'!$B$11)+('Inputs-Buy Pork'!$B$17*'Inputs-Buy Pork'!$B$20*(1-'Inputs-Buy Pork'!$B$57))</f>
        <v>9036.4</v>
      </c>
      <c r="E6" s="120">
        <f>(1-'Inputs-Buy Beef'!$B$2)*('Inputs-Buy Beef'!$G$4*'Inputs-Buy Beef'!$B$5+'Inputs-Buy Beef'!$G$5*'Inputs-Buy Beef'!$B$8+'Inputs-Buy Beef'!$G$6*'Inputs-Buy Beef'!$B$11)+('Inputs-Buy Beef'!$B$17*'Inputs-Buy Beef'!$B$20*(1-'Inputs-Buy Beef'!$B$58))</f>
        <v>10054.641529999997</v>
      </c>
    </row>
    <row r="7" spans="1:5" ht="15" thickBot="1">
      <c r="A7" s="7" t="str">
        <f>"     Less sales returns and allowances"</f>
        <v xml:space="preserve">     Less sales returns and allowances</v>
      </c>
      <c r="B7" s="99"/>
      <c r="C7" s="99"/>
      <c r="D7" s="99"/>
      <c r="E7" s="99"/>
    </row>
    <row r="8" spans="1:6" ht="15">
      <c r="A8" s="2" t="s">
        <v>0</v>
      </c>
      <c r="B8" s="100">
        <f>B6-B7</f>
        <v>16979.066666666666</v>
      </c>
      <c r="C8" s="100">
        <f>C6-C7</f>
        <v>16979.066666666666</v>
      </c>
      <c r="D8" s="100">
        <f>D6-D7</f>
        <v>9036.4</v>
      </c>
      <c r="E8" s="100">
        <f>E6-E7</f>
        <v>10054.641529999997</v>
      </c>
      <c r="F8" s="122"/>
    </row>
    <row r="9" spans="1:5" ht="15">
      <c r="A9" s="1"/>
      <c r="B9" s="97"/>
      <c r="C9" s="97"/>
      <c r="D9" s="97"/>
      <c r="E9" s="97"/>
    </row>
    <row r="10" spans="1:5" ht="15">
      <c r="A10" s="2" t="s">
        <v>2</v>
      </c>
      <c r="B10" s="100"/>
      <c r="C10" s="100"/>
      <c r="D10" s="100"/>
      <c r="E10" s="100"/>
    </row>
    <row r="11" spans="1:5" ht="15">
      <c r="A11" s="1" t="s">
        <v>115</v>
      </c>
      <c r="B11" s="97">
        <f>(('Inputs-Separate'!B30+'Inputs-Separate'!B31)*'Inputs-Separate'!B17)</f>
        <v>11804</v>
      </c>
      <c r="C11" s="97">
        <f>(('Inputs-Consolidated'!$B$30+'Inputs-Consolidated'!$B$31)*'Inputs-Consolidated'!$B$17)</f>
        <v>11804</v>
      </c>
      <c r="D11" s="120">
        <f>(('Inputs-Buy Pork'!$B$28+'Inputs-Buy Pork'!$B$29)*'Inputs-Buy Pork'!$B$17)</f>
        <v>11804</v>
      </c>
      <c r="E11" s="120">
        <f>'Inputs-Buy Beef'!$B$18*'Inputs-Buy Beef'!$B$17*'Inputs-Buy Beef'!$B$30</f>
        <v>811.1979719999999</v>
      </c>
    </row>
    <row r="12" spans="1:5" ht="15">
      <c r="A12" s="27" t="s">
        <v>93</v>
      </c>
      <c r="B12" s="121">
        <f>'Inputs-Separate'!$G$30*('Inputs-Separate'!$B$33+'Inputs-Separate'!$B$34)</f>
        <v>6266.666666666667</v>
      </c>
      <c r="C12" s="121">
        <f>'Inputs-Consolidated'!$G$30*('Inputs-Consolidated'!$B$33+'Inputs-Consolidated'!$B$32)</f>
        <v>6266.666666666667</v>
      </c>
      <c r="D12" s="176">
        <f>'Inputs-Buy Pork'!$B$18*'Inputs-Buy Pork'!$B$17*'Inputs-Buy Pork'!$B$30</f>
        <v>811.1999999999999</v>
      </c>
      <c r="E12" s="176">
        <f>(('Inputs-Buy Beef'!$B$28+'Inputs-Buy Beef'!$B$29)*'Inputs-Buy Beef'!$B$17)</f>
        <v>6266.651</v>
      </c>
    </row>
    <row r="13" spans="1:5" ht="15">
      <c r="A13" s="1" t="s">
        <v>157</v>
      </c>
      <c r="B13" s="102">
        <f>('Inputs-Separate'!$G$18+'Inputs-Separate'!$G$19+'Inputs-Separate'!$G$20)*((1-'Inputs-Separate'!$B$2)*'Inputs-Separate'!$G$3)</f>
        <v>121.91999999999997</v>
      </c>
      <c r="C13" s="102">
        <f>('Inputs-Consolidated'!$G$18+'Inputs-Consolidated'!$G$19+'Inputs-Consolidated'!$G$20)*((1-'Inputs-Consolidated'!$B$2)*'Inputs-Consolidated'!$G$3)</f>
        <v>121.91999999999997</v>
      </c>
      <c r="D13" s="102">
        <f>('Inputs-Buy Pork'!$G$18+'Inputs-Buy Pork'!$G$19+'Inputs-Buy Pork'!$G$17)*((1-'Inputs-Buy Pork'!$B$2)*'Inputs-Buy Pork'!$G$3)</f>
        <v>121.91999999999997</v>
      </c>
      <c r="E13" s="102">
        <f>('Inputs-Buy Beef'!$G$18+'Inputs-Buy Beef'!$G$19+'Inputs-Buy Beef'!$G$17)*((1-'Inputs-Buy Beef'!$B$2)*'Inputs-Buy Beef'!$G$3)</f>
        <v>121.91969519999996</v>
      </c>
    </row>
    <row r="14" spans="1:5" ht="15">
      <c r="A14" s="1" t="s">
        <v>39</v>
      </c>
      <c r="B14" s="97">
        <f>'Inputs-Separate'!$G$22*(1-'Inputs-Separate'!$B$2)*('Inputs-Separate'!$G$7)</f>
        <v>191.99999999999994</v>
      </c>
      <c r="C14" s="97">
        <f>'Inputs-Consolidated'!$G$22*(1-'Inputs-Consolidated'!$B$2)*('Inputs-Consolidated'!$G$7)</f>
        <v>191.99999999999994</v>
      </c>
      <c r="D14" s="97">
        <f>'Inputs-Buy Pork'!$G$21*(1-'Inputs-Buy Pork'!$B$2)*('Inputs-Buy Pork'!$G$7)</f>
        <v>191.99999999999994</v>
      </c>
      <c r="E14" s="97">
        <f>'Inputs-Buy Beef'!$G$21*(1-'Inputs-Buy Beef'!$B$2)*('Inputs-Buy Beef'!$G$7)</f>
        <v>191.99951999999993</v>
      </c>
    </row>
    <row r="15" spans="1:5" ht="15">
      <c r="A15" s="10" t="s">
        <v>139</v>
      </c>
      <c r="B15" s="97">
        <f>('Inputs-Separate'!B32*'Inputs-Separate'!B17)+('Inputs-Separate'!B35*'Inputs-Separate'!B17)</f>
        <v>1284</v>
      </c>
      <c r="C15" s="97">
        <f>'Inputs-Consolidated'!B17*'Inputs-Consolidated'!B34</f>
        <v>788</v>
      </c>
      <c r="D15" s="97">
        <f>'Inputs-Buy Pork'!B31*'Inputs-Buy Pork'!B17</f>
        <v>496</v>
      </c>
      <c r="E15" s="97">
        <f>('Inputs-Buy Beef'!B31/'Inputs-Buy Beef'!B37)*'Inputs-Buy Beef'!B17</f>
        <v>525.3320199999999</v>
      </c>
    </row>
    <row r="16" spans="1:5" ht="15">
      <c r="A16" s="1" t="s">
        <v>160</v>
      </c>
      <c r="B16" s="97">
        <f>'Inputs-Separate'!$G$31*'Inputs-Separate'!$B$44*'Inputs-Separate'!$B$43</f>
        <v>1280</v>
      </c>
      <c r="C16" s="97">
        <f>'Inputs-Consolidated'!$G$31*'Inputs-Consolidated'!$B$42*'Inputs-Consolidated'!$B$43</f>
        <v>1280</v>
      </c>
      <c r="D16" s="97">
        <f>'Inputs-Buy Pork'!$G$30*'Inputs-Buy Pork'!$B$40*'Inputs-Buy Pork'!$B$39</f>
        <v>1280</v>
      </c>
      <c r="E16" s="97">
        <f>'Inputs-Buy Beef'!$G$30*'Inputs-Buy Beef'!$B$40*'Inputs-Buy Beef'!$B$41</f>
        <v>1279.9968</v>
      </c>
    </row>
    <row r="17" spans="1:5" ht="15" thickBot="1">
      <c r="A17" s="7" t="s">
        <v>40</v>
      </c>
      <c r="B17" s="103">
        <f>'Inputs-Separate'!$G$21*(1-'Inputs-Separate'!$B$2)*'Inputs-Separate'!$G$3</f>
        <v>0</v>
      </c>
      <c r="C17" s="103">
        <f>'Inputs-Consolidated'!$G$21*(1-'Inputs-Consolidated'!$B$2)*'Inputs-Consolidated'!$G$3</f>
        <v>0</v>
      </c>
      <c r="D17" s="103">
        <f>'Inputs-Buy Pork'!$G$20*(1-'Inputs-Buy Pork'!$B$2)*'Inputs-Buy Pork'!$G$3</f>
        <v>0</v>
      </c>
      <c r="E17" s="103">
        <f>'Inputs-Buy Beef'!$G$20*(1-'Inputs-Buy Beef'!$B$2)*'Inputs-Buy Beef'!$G$3</f>
        <v>0</v>
      </c>
    </row>
    <row r="18" spans="1:5" ht="15">
      <c r="A18" s="2" t="s">
        <v>3</v>
      </c>
      <c r="B18" s="100">
        <f>SUM($B$11:$B$17)</f>
        <v>20948.586666666666</v>
      </c>
      <c r="C18" s="100">
        <f>SUM(C11:C17)</f>
        <v>20452.586666666666</v>
      </c>
      <c r="D18" s="100">
        <f>SUM(D11:D17)</f>
        <v>14705.12</v>
      </c>
      <c r="E18" s="100">
        <f>SUM(E11:E17)</f>
        <v>9197.0970072</v>
      </c>
    </row>
    <row r="19" spans="1:5" ht="15">
      <c r="A19" s="1"/>
      <c r="B19" s="97"/>
      <c r="C19" s="97"/>
      <c r="D19" s="97"/>
      <c r="E19" s="97"/>
    </row>
    <row r="20" spans="1:5" ht="15" thickBot="1">
      <c r="A20" s="8" t="s">
        <v>4</v>
      </c>
      <c r="B20" s="104">
        <f>$B$8-$B$18</f>
        <v>-3969.5200000000004</v>
      </c>
      <c r="C20" s="104">
        <f>C8-C18</f>
        <v>-3473.5200000000004</v>
      </c>
      <c r="D20" s="104">
        <f>D8-D18</f>
        <v>-5668.720000000001</v>
      </c>
      <c r="E20" s="104">
        <f>E8-E18</f>
        <v>857.5445227999971</v>
      </c>
    </row>
    <row r="21" spans="1:5" ht="15">
      <c r="A21" s="1"/>
      <c r="B21" s="97"/>
      <c r="C21" s="97"/>
      <c r="D21" s="97"/>
      <c r="E21" s="97"/>
    </row>
    <row r="22" spans="1:5" ht="15">
      <c r="A22" s="2" t="s">
        <v>5</v>
      </c>
      <c r="B22" s="100"/>
      <c r="C22" s="100"/>
      <c r="D22" s="100"/>
      <c r="E22" s="100"/>
    </row>
    <row r="23" spans="1:5" ht="15">
      <c r="A23" s="1" t="s">
        <v>6</v>
      </c>
      <c r="B23" s="97"/>
      <c r="C23" s="97"/>
      <c r="D23" s="97"/>
      <c r="E23" s="97"/>
    </row>
    <row r="24" spans="1:5" ht="15">
      <c r="A24" s="1" t="str">
        <f>"     Advertising"</f>
        <v xml:space="preserve">     Advertising</v>
      </c>
      <c r="B24" s="97">
        <f>IF('Inputs-Separate'!$C$47="Monthly",'Inputs-Separate'!$B$47*12,IF('Inputs-Separate'!$C$47="Daily",'Inputs-Separate'!$B$47*365,IF('Inputs-Separate'!$C$47="Weekly",'Inputs-Separate'!$B$47*52,IF('Inputs-Separate'!$C$47="Annually",'Inputs-Separate'!$B$47*1))))</f>
        <v>200</v>
      </c>
      <c r="C24" s="97">
        <f>IF('Inputs-Consolidated'!$C$46="Monthly",'Inputs-Consolidated'!$B$46*12,IF('Inputs-Consolidated'!$C$46="Daily",'Inputs-Consolidated'!$B$46*365,IF('Inputs-Consolidated'!$C$46="Weekly",'Inputs-Consolidated'!$B$46*52,IF('Inputs-Consolidated'!$C$46="Annually",'Inputs-Consolidated'!$B$46*1))))</f>
        <v>200</v>
      </c>
      <c r="D24" s="97">
        <f>IF('Inputs-Buy Pork'!$C$43="Monthly",'Inputs-Buy Pork'!$B$43*12,IF('Inputs-Buy Pork'!$C$43="Daily",'Inputs-Buy Pork'!$B$43*365,IF('Inputs-Buy Pork'!$C$43="Weekly",'Inputs-Buy Pork'!$B$43*52,IF('Inputs-Buy Pork'!$C$43="Annually",'Inputs-Buy Pork'!$B$43*1))))</f>
        <v>200</v>
      </c>
      <c r="E24" s="97">
        <f>IF('Inputs-Buy Beef'!$C$44="Monthly",'Inputs-Buy Beef'!$B$44*12,IF('Inputs-Buy Beef'!$C$44="Daily",'Inputs-Buy Beef'!$B$44*365,IF('Inputs-Buy Beef'!$C$44="Weekly",'Inputs-Buy Beef'!$B$44*52,IF('Inputs-Buy Beef'!$C$44="Annually",'Inputs-Buy Beef'!$B$44*1))))</f>
        <v>200</v>
      </c>
    </row>
    <row r="25" spans="1:5" ht="15">
      <c r="A25" s="1" t="str">
        <f>"     Depreciation"</f>
        <v xml:space="preserve">     Depreciation</v>
      </c>
      <c r="B25" s="97">
        <f>IF('Inputs-Separate'!$C$48="Daily",'Inputs-Separate'!$B$48*365,IF('Inputs-Separate'!$C$48="Weekly",'Inputs-Separate'!$B$48*52,IF('Inputs-Separate'!$C$48="Monthly",'Inputs-Separate'!$B$48*12,IF('Inputs-Separate'!$C$48="Annually",'Inputs-Separate'!$B$48))))</f>
        <v>0</v>
      </c>
      <c r="C25" s="97">
        <f>IF('Inputs-Consolidated'!$C$47="Daily",'Inputs-Consolidated'!$B$47*365,IF('Inputs-Consolidated'!$C$47="Weekly",'Inputs-Consolidated'!$B$47*52,IF('Inputs-Consolidated'!$C$47="Monthly",'Inputs-Consolidated'!$B$47*12,IF('Inputs-Consolidated'!$C$47="Annually",'Inputs-Consolidated'!$B$47))))</f>
        <v>0</v>
      </c>
      <c r="D25" s="97">
        <f>IF('Inputs-Buy Pork'!$C$44="Daily",'Inputs-Buy Pork'!$B$44*365,IF('Inputs-Buy Pork'!$C$44="Weekly",'Inputs-Buy Pork'!$B$44*52,IF('Inputs-Buy Pork'!$C$44="Monthly",'Inputs-Buy Pork'!$B$44*12,IF('Inputs-Buy Pork'!$C$44="Annually",'Inputs-Buy Pork'!$B$44))))</f>
        <v>0</v>
      </c>
      <c r="E25" s="97">
        <f>IF('Inputs-Buy Beef'!$C$45="Daily",'Inputs-Buy Beef'!$B$45*365,IF('Inputs-Buy Beef'!$C$45="Weekly",'Inputs-Buy Beef'!$B$45*52,IF('Inputs-Buy Beef'!$C$45="Monthly",'Inputs-Buy Beef'!$B$45*12,IF('Inputs-Buy Beef'!$C$45="Annually",'Inputs-Buy Beef'!$B$45))))</f>
        <v>0</v>
      </c>
    </row>
    <row r="26" spans="1:5" ht="15">
      <c r="A26" s="1" t="str">
        <f>"     Transportation of meatballs"</f>
        <v xml:space="preserve">     Transportation of meatballs</v>
      </c>
      <c r="B26" s="102">
        <f>IF('Inputs-Separate'!$C$49="Monthly",'Inputs-Separate'!$B$49*12,IF('Inputs-Separate'!$C$49="Annually",'Inputs-Separate'!$B$49))</f>
        <v>500</v>
      </c>
      <c r="C26" s="102">
        <f>IF('Inputs-Consolidated'!$C$48="Monthly",'Inputs-Consolidated'!$B$48*12,IF('Inputs-Consolidated'!$C$48="Annually",'Inputs-Consolidated'!$B$48))</f>
        <v>500</v>
      </c>
      <c r="D26" s="102">
        <f>IF('Inputs-Buy Pork'!$C$45="Monthly",'Inputs-Buy Pork'!$B$45*12,IF('Inputs-Buy Pork'!$C$45="Annually",'Inputs-Buy Pork'!$B$45))</f>
        <v>500</v>
      </c>
      <c r="E26" s="102">
        <f>IF('Inputs-Buy Beef'!$C$46="Monthly",'Inputs-Buy Beef'!$B$46*12,IF('Inputs-Buy Beef'!$C$46="Annually",'Inputs-Buy Beef'!$B$46))</f>
        <v>500</v>
      </c>
    </row>
    <row r="27" spans="1:5" ht="15" thickBot="1">
      <c r="A27" s="7" t="str">
        <f>"     Other"</f>
        <v xml:space="preserve">     Other</v>
      </c>
      <c r="B27" s="99">
        <f>IF('Inputs-Separate'!$C$50="Weekly",'Inputs-Separate'!$B$50*52,IF('Inputs-Separate'!$C$50="Daily",'Inputs-Separate'!$B$50*365,IF('Inputs-Separate'!$C$50="Monthly",'Inputs-Separate'!$B$50*12,IF('Inputs-Separate'!C50="Annually",'Inputs-Separate'!$B$50))))</f>
        <v>0</v>
      </c>
      <c r="C27" s="99">
        <f>IF('Inputs-Consolidated'!$C$49="Weekly",'Inputs-Consolidated'!$B$49*52,IF('Inputs-Consolidated'!$C$49="Daily",'Inputs-Consolidated'!$B$49*365,IF('Inputs-Consolidated'!$C$49="Monthly",'Inputs-Consolidated'!$B$49*12,IF('Inputs-Consolidated'!C49="Annually",'Inputs-Consolidated'!$B$49))))</f>
        <v>0</v>
      </c>
      <c r="D27" s="99">
        <f>IF('Inputs-Buy Pork'!$C$46="Weekly",'Inputs-Buy Pork'!$B$46*52,IF('Inputs-Buy Pork'!$C$46="Daily",'Inputs-Buy Pork'!$B$46*365,IF('Inputs-Buy Pork'!$C$46="Monthly",'Inputs-Buy Pork'!$B$46*12,IF('Inputs-Buy Pork'!D46="Annually",'Inputs-Buy Pork'!$B$46))))</f>
        <v>0</v>
      </c>
      <c r="E27" s="99">
        <f>IF('Inputs-Buy Beef'!$C$47="Weekly",'Inputs-Buy Beef'!$B$47*52,IF('Inputs-Buy Beef'!$C$47="Daily",'Inputs-Buy Beef'!$B$47*365,IF('Inputs-Buy Beef'!$C$47="Monthly",'Inputs-Buy Beef'!$B$47*12,IF('Inputs-Buy Beef'!E47="Annually",'Inputs-Buy Beef'!$B$47))))</f>
        <v>0</v>
      </c>
    </row>
    <row r="28" spans="1:5" ht="15">
      <c r="A28" s="2" t="s">
        <v>7</v>
      </c>
      <c r="B28" s="100">
        <f>SUM($B$24:$B$27)</f>
        <v>700</v>
      </c>
      <c r="C28" s="100">
        <f>SUM(C24:C27)</f>
        <v>700</v>
      </c>
      <c r="D28" s="100">
        <f>SUM(D24:D27)</f>
        <v>700</v>
      </c>
      <c r="E28" s="100">
        <f>SUM(E24:E27)</f>
        <v>700</v>
      </c>
    </row>
    <row r="29" spans="1:5" ht="15">
      <c r="A29" s="1"/>
      <c r="B29" s="97"/>
      <c r="C29" s="97"/>
      <c r="D29" s="97"/>
      <c r="E29" s="97"/>
    </row>
    <row r="30" spans="1:5" ht="15">
      <c r="A30" s="2" t="s">
        <v>8</v>
      </c>
      <c r="B30" s="100"/>
      <c r="C30" s="100"/>
      <c r="D30" s="100"/>
      <c r="E30" s="100"/>
    </row>
    <row r="31" spans="1:5" ht="15">
      <c r="A31" s="1" t="str">
        <f>"     Salaries and wages"</f>
        <v xml:space="preserve">     Salaries and wages</v>
      </c>
      <c r="B31" s="97">
        <f>IF('Inputs-Separate'!$C$53="Annually",'Inputs-Separate'!$B$53,IF('Inputs-Separate'!$C$53="Daily",'Inputs-Separate'!$B$53*365,IF('Inputs-Separate'!$C$53="Weekly",'Inputs-Separate'!$B$53*52,IF('Inputs-Separate'!$C$53="Monthly",'Inputs-Separate'!$B$53*12))))</f>
        <v>0</v>
      </c>
      <c r="C31" s="97">
        <f>IF('Inputs-Consolidated'!$C$52="Annually",'Inputs-Consolidated'!$B$52,IF('Inputs-Consolidated'!$C$52="Daily",'Inputs-Consolidated'!$B$52*365,IF('Inputs-Consolidated'!$C$52="Weekly",'Inputs-Consolidated'!$B$52*52,IF('Inputs-Consolidated'!$C$52="Monthly",'Inputs-Consolidated'!$B$52*12))))</f>
        <v>0</v>
      </c>
      <c r="D31" s="97">
        <f>IF('Inputs-Buy Pork'!$C$49="Annually",'Inputs-Buy Pork'!$B$49,IF('Inputs-Buy Pork'!$C$49="Daily",'Inputs-Buy Pork'!$B$49*365,IF('Inputs-Buy Pork'!$C$49="Weekly",'Inputs-Buy Pork'!$B$49*52,IF('Inputs-Buy Pork'!$C$49="Monthly",'Inputs-Buy Pork'!$B$49*12))))</f>
        <v>0</v>
      </c>
      <c r="E31" s="97">
        <f>IF('Inputs-Buy Beef'!$C$50="Annually",'Inputs-Buy Beef'!$B$50,IF('Inputs-Buy Beef'!$C$50="Daily",'Inputs-Buy Beef'!$B$50*365,IF('Inputs-Buy Beef'!$C$50="Weekly",'Inputs-Buy Beef'!$B$50*52,IF('Inputs-Buy Beef'!$C$50="Monthly",'Inputs-Buy Beef'!$B$50*12))))</f>
        <v>0</v>
      </c>
    </row>
    <row r="32" spans="1:5" ht="15">
      <c r="A32" s="1" t="str">
        <f>"     Payroll taxes"</f>
        <v xml:space="preserve">     Payroll taxes</v>
      </c>
      <c r="B32" s="102">
        <f>'Inputs-Separate'!$G$29</f>
        <v>128</v>
      </c>
      <c r="C32" s="102">
        <f>'Inputs-Consolidated'!$G$29</f>
        <v>128</v>
      </c>
      <c r="D32" s="102">
        <f>'Inputs-Buy Pork'!$G$28</f>
        <v>128</v>
      </c>
      <c r="E32" s="102">
        <f>'Inputs-Buy Beef'!$G$28</f>
        <v>128</v>
      </c>
    </row>
    <row r="33" spans="1:5" ht="15">
      <c r="A33" s="1" t="str">
        <f>"     Rent"</f>
        <v xml:space="preserve">     Rent</v>
      </c>
      <c r="B33" s="97">
        <f>IF('Inputs-Separate'!$C$54="Daily",'Inputs-Separate'!$B$54*365,IF('Inputs-Separate'!$C$54="Weekly",'Inputs-Separate'!$B$54*52,IF('Inputs-Separate'!$C$54="Monthly",'Inputs-Separate'!$B$54*12,IF('Inputs-Separate'!$C$54="Annually",'Inputs-Separate'!$B$54))))</f>
        <v>0</v>
      </c>
      <c r="C33" s="97">
        <f>IF('Inputs-Consolidated'!$C$53="Daily",'Inputs-Consolidated'!$B$53*365,IF('Inputs-Consolidated'!$C$53="Weekly",'Inputs-Consolidated'!$B$53*52,IF('Inputs-Consolidated'!$C$53="Monthly",'Inputs-Consolidated'!$B$53*12,IF('Inputs-Consolidated'!$C$53="Annually",'Inputs-Consolidated'!$B$53))))</f>
        <v>0</v>
      </c>
      <c r="D33" s="97">
        <f>IF('Inputs-Buy Pork'!$C$50="Daily",'Inputs-Buy Pork'!$B$50*365,IF('Inputs-Buy Pork'!$C$50="Weekly",'Inputs-Buy Pork'!$B$50*52,IF('Inputs-Buy Pork'!$C$50="Monthly",'Inputs-Buy Pork'!$B$50*12,IF('Inputs-Buy Pork'!$C$50="Annually",'Inputs-Buy Pork'!$B$50))))</f>
        <v>0</v>
      </c>
      <c r="E33" s="97">
        <f>IF('Inputs-Buy Beef'!$C$51="Daily",'Inputs-Buy Beef'!$B$51*365,IF('Inputs-Buy Beef'!$C$51="Weekly",'Inputs-Buy Beef'!$B$51*52,IF('Inputs-Buy Beef'!$C$51="Monthly",'Inputs-Buy Beef'!$B$51*12,IF('Inputs-Buy Beef'!$C$51="Annually",'Inputs-Buy Beef'!$B$51))))</f>
        <v>0</v>
      </c>
    </row>
    <row r="34" spans="1:5" ht="15">
      <c r="A34" s="1" t="str">
        <f>"     Utilities"</f>
        <v xml:space="preserve">     Utilities</v>
      </c>
      <c r="B34" s="97">
        <f>IF('Inputs-Separate'!$C$55="Daily",'Inputs-Separate'!$B$55*365,IF('Inputs-Separate'!$C$55="Weekly",'Inputs-Separate'!$B$55*52,IF('Inputs-Separate'!$C$55="Monthly",'Inputs-Separate'!$B$55*12,IF('Inputs-Separate'!$C$55="Annually",'Inputs-Separate'!$B$55))))</f>
        <v>500</v>
      </c>
      <c r="C34" s="97">
        <f>IF('Inputs-Consolidated'!$C$54="Daily",'Inputs-Consolidated'!$B$54*365,IF('Inputs-Consolidated'!$C$54="Weekly",'Inputs-Consolidated'!$B$54*52,IF('Inputs-Consolidated'!$C$54="Monthly",'Inputs-Consolidated'!$B$54*12,IF('Inputs-Consolidated'!$C$54="Annually",'Inputs-Consolidated'!$B$54))))</f>
        <v>500</v>
      </c>
      <c r="D34" s="97">
        <f>IF('Inputs-Buy Pork'!$C$51="Daily",'Inputs-Buy Pork'!$B$51*365,IF('Inputs-Buy Pork'!$C$51="Weekly",'Inputs-Buy Pork'!$B$51*52,IF('Inputs-Buy Pork'!$C$51="Monthly",'Inputs-Buy Pork'!$B$51*12,IF('Inputs-Buy Pork'!$C$51="Annually",'Inputs-Buy Pork'!$B$51))))</f>
        <v>500</v>
      </c>
      <c r="E34" s="97">
        <f>IF('Inputs-Buy Beef'!$C$52="Daily",'Inputs-Buy Beef'!$B$52*365,IF('Inputs-Buy Beef'!$C$52="Weekly",'Inputs-Buy Beef'!$B$52*52,IF('Inputs-Buy Beef'!$C$52="Monthly",'Inputs-Buy Beef'!$B$52*12,IF('Inputs-Buy Beef'!$C$52="Annually",'Inputs-Buy Beef'!$B$52))))</f>
        <v>500</v>
      </c>
    </row>
    <row r="35" spans="1:5" ht="15" thickBot="1">
      <c r="A35" s="7" t="str">
        <f>"     Equipment maintenance"</f>
        <v xml:space="preserve">     Equipment maintenance</v>
      </c>
      <c r="B35" s="99">
        <f>IF('Inputs-Separate'!$C$56="Daily",'Inputs-Separate'!$B$56*365,IF('Inputs-Separate'!$C$56="Weekly",'Inputs-Separate'!$B$56*52,IF('Inputs-Separate'!$C$56="Monthly",'Inputs-Separate'!$B$56*12,IF('Inputs-Separate'!$C$56="Annually",'Inputs-Separate'!$B$56))))</f>
        <v>0</v>
      </c>
      <c r="C35" s="99">
        <f>IF('Inputs-Consolidated'!$C$55="Daily",'Inputs-Consolidated'!$B$55*365,IF('Inputs-Consolidated'!$C$55="Weekly",'Inputs-Consolidated'!$B$55*52,IF('Inputs-Consolidated'!$C$55="Monthly",'Inputs-Consolidated'!$B$55*12,IF('Inputs-Consolidated'!$C$55="Annually",'Inputs-Consolidated'!$B$55))))</f>
        <v>0</v>
      </c>
      <c r="D35" s="99">
        <f>IF('Inputs-Buy Pork'!$C$52="Daily",'Inputs-Buy Pork'!$B$52*365,IF('Inputs-Buy Pork'!$C$52="Weekly",'Inputs-Buy Pork'!$B$52*52,IF('Inputs-Buy Pork'!$C$52="Monthly",'Inputs-Buy Pork'!$B$52*12,IF('Inputs-Buy Pork'!$C$52="Annually",'Inputs-Buy Pork'!$B$52))))</f>
        <v>0</v>
      </c>
      <c r="E35" s="99">
        <f>IF('Inputs-Buy Beef'!$C$53="Daily",'Inputs-Buy Beef'!$B$53*365,IF('Inputs-Buy Beef'!$C$53="Weekly",'Inputs-Buy Beef'!$B$53*52,IF('Inputs-Buy Beef'!$C$53="Monthly",'Inputs-Buy Beef'!$B$53*12,IF('Inputs-Buy Beef'!$C$53="Annually",'Inputs-Buy Beef'!$B$53))))</f>
        <v>0</v>
      </c>
    </row>
    <row r="36" spans="1:5" ht="15">
      <c r="A36" s="2" t="s">
        <v>9</v>
      </c>
      <c r="B36" s="100">
        <f>SUM($B$31:$B$35)</f>
        <v>628</v>
      </c>
      <c r="C36" s="100">
        <f aca="true" t="shared" si="0" ref="C36:D36">SUM(C31:C35)</f>
        <v>628</v>
      </c>
      <c r="D36" s="100">
        <f t="shared" si="0"/>
        <v>628</v>
      </c>
      <c r="E36" s="100">
        <f aca="true" t="shared" si="1" ref="E36">SUM(E31:E35)</f>
        <v>628</v>
      </c>
    </row>
    <row r="37" spans="1:5" ht="15">
      <c r="A37" s="1"/>
      <c r="B37" s="97"/>
      <c r="C37" s="97"/>
      <c r="D37" s="97"/>
      <c r="E37" s="97"/>
    </row>
    <row r="38" spans="1:5" ht="15">
      <c r="A38" s="2" t="s">
        <v>10</v>
      </c>
      <c r="B38" s="100">
        <f>$B$28+$B$36</f>
        <v>1328</v>
      </c>
      <c r="C38" s="100">
        <f aca="true" t="shared" si="2" ref="C38:D38">C28+C36</f>
        <v>1328</v>
      </c>
      <c r="D38" s="100">
        <f t="shared" si="2"/>
        <v>1328</v>
      </c>
      <c r="E38" s="100">
        <f aca="true" t="shared" si="3" ref="E38">E28+E36</f>
        <v>1328</v>
      </c>
    </row>
    <row r="39" spans="1:5" ht="15">
      <c r="A39" s="1"/>
      <c r="B39" s="97"/>
      <c r="C39" s="97"/>
      <c r="D39" s="97"/>
      <c r="E39" s="97"/>
    </row>
    <row r="40" spans="1:5" ht="15">
      <c r="A40" s="1" t="s">
        <v>158</v>
      </c>
      <c r="B40" s="97">
        <f>$B$20-$B$38</f>
        <v>-5297.52</v>
      </c>
      <c r="C40" s="97">
        <f>C20-C38</f>
        <v>-4801.52</v>
      </c>
      <c r="D40" s="97">
        <f>D20-D38</f>
        <v>-6996.720000000001</v>
      </c>
      <c r="E40" s="97">
        <f>E20-E38</f>
        <v>-470.45547720000286</v>
      </c>
    </row>
    <row r="41" spans="1:5" ht="15">
      <c r="A41" s="1" t="str">
        <f>"     Taxes on income"</f>
        <v xml:space="preserve">     Taxes on income</v>
      </c>
      <c r="B41" s="97">
        <f>'Inputs-Separate'!$B$59*'Pro Forma Income- All Meats'!B40</f>
        <v>0</v>
      </c>
      <c r="C41" s="97">
        <f>'Inputs-Consolidated'!$B$58*'Pro Forma Income- All Meats'!C40</f>
        <v>0</v>
      </c>
      <c r="D41" s="97">
        <f>'Inputs-Buy Pork'!$B$55*'Pro Forma Income- All Meats'!D40</f>
        <v>0</v>
      </c>
      <c r="E41" s="97">
        <f>'Inputs-Buy Beef'!$B$56*'Pro Forma Income- All Meats'!E40</f>
        <v>0</v>
      </c>
    </row>
    <row r="42" spans="1:5" ht="15">
      <c r="A42" s="1" t="s">
        <v>159</v>
      </c>
      <c r="B42" s="97">
        <f>$B$40-$B$41</f>
        <v>-5297.52</v>
      </c>
      <c r="C42" s="97">
        <f aca="true" t="shared" si="4" ref="C42:D42">C40-C41</f>
        <v>-4801.52</v>
      </c>
      <c r="D42" s="97">
        <f t="shared" si="4"/>
        <v>-6996.720000000001</v>
      </c>
      <c r="E42" s="97">
        <f aca="true" t="shared" si="5" ref="E42">E40-E41</f>
        <v>-470.45547720000286</v>
      </c>
    </row>
    <row r="43" spans="1:5" ht="15">
      <c r="A43" s="1"/>
      <c r="B43" s="97"/>
      <c r="C43" s="97"/>
      <c r="D43" s="97"/>
      <c r="E43" s="97"/>
    </row>
    <row r="44" spans="1:5" ht="15">
      <c r="A44" s="1" t="s">
        <v>11</v>
      </c>
      <c r="B44" s="97">
        <f>'Inputs-Separate'!$B$60</f>
        <v>0</v>
      </c>
      <c r="C44" s="97">
        <f>'Inputs-Consolidated'!$B$59</f>
        <v>0</v>
      </c>
      <c r="D44" s="97">
        <f>'Inputs-Buy Pork'!$B$56</f>
        <v>0</v>
      </c>
      <c r="E44" s="97">
        <f>'Inputs-Buy Beef'!$B$57</f>
        <v>0</v>
      </c>
    </row>
    <row r="45" spans="1:5" ht="15">
      <c r="A45" s="1" t="s">
        <v>12</v>
      </c>
      <c r="B45" s="97">
        <f>'Inputs-Separate'!$B$59*'Pro Forma Income- All Meats'!$B$44</f>
        <v>0</v>
      </c>
      <c r="C45" s="97">
        <f>'Inputs-Consolidated'!$B$58*'Pro Forma Income- All Meats'!$C$44</f>
        <v>0</v>
      </c>
      <c r="D45" s="97">
        <f>'Inputs-Buy Pork'!$B$55*'Pro Forma Income- All Meats'!$D$44</f>
        <v>0</v>
      </c>
      <c r="E45" s="97">
        <f>'Inputs-Buy Beef'!$B$56*'Pro Forma Income- All Meats'!$E$44</f>
        <v>0</v>
      </c>
    </row>
    <row r="46" spans="1:5" ht="15">
      <c r="A46" s="1"/>
      <c r="B46" s="97"/>
      <c r="C46" s="97"/>
      <c r="D46" s="97"/>
      <c r="E46" s="97"/>
    </row>
    <row r="47" spans="1:5" ht="15" thickBot="1">
      <c r="A47" s="9" t="s">
        <v>13</v>
      </c>
      <c r="B47" s="105">
        <f>$B$42+$B$44-$B$45</f>
        <v>-5297.52</v>
      </c>
      <c r="C47" s="105">
        <f aca="true" t="shared" si="6" ref="C47:D47">C42+C44-C45</f>
        <v>-4801.52</v>
      </c>
      <c r="D47" s="105">
        <f t="shared" si="6"/>
        <v>-6996.720000000001</v>
      </c>
      <c r="E47" s="105">
        <f aca="true" t="shared" si="7" ref="E47">E42+E44-E45</f>
        <v>-470.45547720000286</v>
      </c>
    </row>
    <row r="48" spans="1:4" ht="15" thickTop="1">
      <c r="A48" s="1"/>
      <c r="B48" s="1"/>
      <c r="C48" s="1"/>
      <c r="D48" s="1"/>
    </row>
  </sheetData>
  <mergeCells count="3">
    <mergeCell ref="A1:E1"/>
    <mergeCell ref="A2:E2"/>
    <mergeCell ref="A3:E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topLeftCell="A1">
      <selection activeCell="B3" sqref="B3"/>
    </sheetView>
  </sheetViews>
  <sheetFormatPr defaultColWidth="8.8515625" defaultRowHeight="15"/>
  <cols>
    <col min="1" max="1" width="76.421875" style="0" bestFit="1" customWidth="1"/>
    <col min="2" max="2" width="9.421875" style="0" bestFit="1" customWidth="1"/>
    <col min="3" max="3" width="13.421875" style="0" customWidth="1"/>
    <col min="4" max="4" width="12.00390625" style="0" bestFit="1" customWidth="1"/>
    <col min="6" max="6" width="46.8515625" style="0" customWidth="1"/>
    <col min="7" max="7" width="11.421875" style="0" bestFit="1" customWidth="1"/>
    <col min="8" max="8" width="12.140625" style="0" bestFit="1" customWidth="1"/>
  </cols>
  <sheetData>
    <row r="1" spans="1:8" ht="15">
      <c r="A1" s="205" t="s">
        <v>18</v>
      </c>
      <c r="B1" s="206"/>
      <c r="C1" s="207"/>
      <c r="D1" s="16"/>
      <c r="F1" s="205" t="s">
        <v>57</v>
      </c>
      <c r="G1" s="206"/>
      <c r="H1" s="207"/>
    </row>
    <row r="2" spans="1:8" ht="15">
      <c r="A2" s="4" t="s">
        <v>71</v>
      </c>
      <c r="B2" s="5">
        <v>0.8</v>
      </c>
      <c r="C2" s="3"/>
      <c r="D2" s="1"/>
      <c r="E2" s="10"/>
      <c r="F2" s="3" t="s">
        <v>42</v>
      </c>
      <c r="G2" s="14">
        <f>(B18*B13)/B21</f>
        <v>4800</v>
      </c>
      <c r="H2" s="3" t="s">
        <v>50</v>
      </c>
    </row>
    <row r="3" spans="1:8" ht="15">
      <c r="A3" s="3" t="s">
        <v>17</v>
      </c>
      <c r="B3" s="3">
        <v>1</v>
      </c>
      <c r="C3" s="3"/>
      <c r="D3" s="16"/>
      <c r="F3" s="4" t="s">
        <v>23</v>
      </c>
      <c r="G3" s="14">
        <f>(B17*B18*B13)/B21</f>
        <v>19200</v>
      </c>
      <c r="H3" s="3" t="str">
        <f>C17</f>
        <v>Annually</v>
      </c>
    </row>
    <row r="4" spans="1:8" ht="15">
      <c r="A4" s="3" t="s">
        <v>62</v>
      </c>
      <c r="B4" s="3">
        <v>10</v>
      </c>
      <c r="C4" s="3"/>
      <c r="D4" s="1"/>
      <c r="F4" s="4" t="s">
        <v>90</v>
      </c>
      <c r="G4" s="14">
        <f>(G3*B6)/B4</f>
        <v>1920</v>
      </c>
      <c r="H4" s="3" t="str">
        <f>C17</f>
        <v>Annually</v>
      </c>
    </row>
    <row r="5" spans="1:8" ht="15">
      <c r="A5" s="3" t="s">
        <v>63</v>
      </c>
      <c r="B5" s="3">
        <v>5.5</v>
      </c>
      <c r="C5" s="3"/>
      <c r="F5" s="4" t="s">
        <v>91</v>
      </c>
      <c r="G5" s="14">
        <f>IF(B7&gt;0,(G3*B9)/B7,0)</f>
        <v>0</v>
      </c>
      <c r="H5" s="3" t="str">
        <f>C17</f>
        <v>Annually</v>
      </c>
    </row>
    <row r="6" spans="1:8" ht="15">
      <c r="A6" s="3" t="s">
        <v>68</v>
      </c>
      <c r="B6" s="5">
        <v>1</v>
      </c>
      <c r="C6" s="3"/>
      <c r="F6" s="4" t="s">
        <v>92</v>
      </c>
      <c r="G6" s="14">
        <f>IF(B10&gt;0,(G3*B12)/B10,0)</f>
        <v>0</v>
      </c>
      <c r="H6" s="3" t="str">
        <f>C17</f>
        <v>Annually</v>
      </c>
    </row>
    <row r="7" spans="1:8" ht="15">
      <c r="A7" s="3" t="s">
        <v>64</v>
      </c>
      <c r="B7" s="3">
        <v>0</v>
      </c>
      <c r="C7" s="3"/>
      <c r="F7" s="3" t="s">
        <v>80</v>
      </c>
      <c r="G7" s="14">
        <f>SUM(G4:G6)</f>
        <v>1920</v>
      </c>
      <c r="H7" s="3" t="str">
        <f>C17</f>
        <v>Annually</v>
      </c>
    </row>
    <row r="8" spans="1:8" ht="15">
      <c r="A8" s="3" t="s">
        <v>65</v>
      </c>
      <c r="B8" s="3">
        <v>0</v>
      </c>
      <c r="C8" s="3"/>
      <c r="F8" s="3" t="s">
        <v>59</v>
      </c>
      <c r="G8" s="14">
        <f>(B24*B13)/B27</f>
        <v>1440</v>
      </c>
      <c r="H8" s="3" t="s">
        <v>60</v>
      </c>
    </row>
    <row r="9" spans="1:8" ht="15">
      <c r="A9" s="3" t="s">
        <v>69</v>
      </c>
      <c r="B9" s="5">
        <v>0</v>
      </c>
      <c r="C9" s="3"/>
      <c r="F9" s="4" t="s">
        <v>61</v>
      </c>
      <c r="G9" s="23">
        <f>G2/G8</f>
        <v>3.3333333333333335</v>
      </c>
      <c r="H9" s="3"/>
    </row>
    <row r="10" spans="1:8" ht="15">
      <c r="A10" s="3" t="s">
        <v>66</v>
      </c>
      <c r="B10" s="3">
        <v>0</v>
      </c>
      <c r="C10" s="3"/>
      <c r="F10" s="10"/>
      <c r="G10" s="29"/>
      <c r="H10" s="1"/>
    </row>
    <row r="11" spans="1:8" ht="15">
      <c r="A11" s="3" t="s">
        <v>67</v>
      </c>
      <c r="B11" s="3">
        <v>0</v>
      </c>
      <c r="C11" s="3"/>
      <c r="F11" s="205" t="s">
        <v>48</v>
      </c>
      <c r="G11" s="206"/>
      <c r="H11" s="207"/>
    </row>
    <row r="12" spans="1:8" ht="15">
      <c r="A12" s="3" t="s">
        <v>70</v>
      </c>
      <c r="B12" s="5">
        <v>0</v>
      </c>
      <c r="C12" s="3"/>
      <c r="F12" s="3" t="s">
        <v>49</v>
      </c>
      <c r="G12" s="23">
        <f>SUM(G13:G21)</f>
        <v>0.269149321911455</v>
      </c>
      <c r="H12" s="3"/>
    </row>
    <row r="13" spans="1:8" ht="15">
      <c r="A13" s="3" t="s">
        <v>72</v>
      </c>
      <c r="B13" s="3">
        <v>16</v>
      </c>
      <c r="C13" s="3"/>
      <c r="F13" s="4" t="str">
        <f>"     Cow cost per meatball"</f>
        <v xml:space="preserve">     Cow cost per meatball</v>
      </c>
      <c r="G13" s="23">
        <f>((B30)*(B19/(B19+B20)))/G2</f>
        <v>0.11342874359746913</v>
      </c>
      <c r="H13" s="3" t="s">
        <v>51</v>
      </c>
    </row>
    <row r="14" spans="1:8" ht="15">
      <c r="A14" s="4" t="s">
        <v>110</v>
      </c>
      <c r="B14" s="4">
        <v>0.05</v>
      </c>
      <c r="C14" s="3"/>
      <c r="F14" s="4" t="str">
        <f>"     Cow butcher cost per meatball"</f>
        <v xml:space="preserve">     Cow butcher cost per meatball</v>
      </c>
      <c r="G14" s="23">
        <f>(($B$31/($B$20+$B$19))*$B$19)/($G$2)</f>
        <v>0.04327922567038265</v>
      </c>
      <c r="H14" s="3" t="s">
        <v>51</v>
      </c>
    </row>
    <row r="15" spans="6:8" ht="15">
      <c r="F15" s="4" t="str">
        <f>"     Hog cost per meatball"</f>
        <v xml:space="preserve">     Hog cost per meatball</v>
      </c>
      <c r="G15" s="24">
        <f>(($B$33)*($B$25/($B$25+$B$26)))/$G$8</f>
        <v>0.03557562017927871</v>
      </c>
      <c r="H15" s="3" t="s">
        <v>51</v>
      </c>
    </row>
    <row r="16" spans="1:8" ht="15">
      <c r="A16" s="205" t="s">
        <v>54</v>
      </c>
      <c r="B16" s="206"/>
      <c r="C16" s="207"/>
      <c r="F16" s="4" t="str">
        <f>"     Hog butcher cost per meatball"</f>
        <v xml:space="preserve">     Hog butcher cost per meatball</v>
      </c>
      <c r="G16" s="24">
        <f>(($B$34/($B$25+$B$26))*$B$25)/G8</f>
        <v>0.03025328330206379</v>
      </c>
      <c r="H16" s="3" t="s">
        <v>51</v>
      </c>
    </row>
    <row r="17" spans="1:8" ht="15">
      <c r="A17" s="3" t="s">
        <v>106</v>
      </c>
      <c r="B17" s="3">
        <v>4</v>
      </c>
      <c r="C17" s="3" t="s">
        <v>33</v>
      </c>
      <c r="F17" s="4" t="str">
        <f>"     All transportation costs per meatball"</f>
        <v xml:space="preserve">     All transportation costs per meatball</v>
      </c>
      <c r="G17" s="24">
        <f>((($B$32)*($B$19/($B$19+$B$20)))/$G$2)+((($B$35/G9)*($B$25/($B$25+$B$26)))/$G$8)</f>
        <v>0.01486244916226076</v>
      </c>
      <c r="H17" s="3" t="s">
        <v>51</v>
      </c>
    </row>
    <row r="18" spans="1:8" ht="15">
      <c r="A18" s="3" t="s">
        <v>81</v>
      </c>
      <c r="B18" s="3">
        <v>120</v>
      </c>
      <c r="C18" s="3"/>
      <c r="F18" s="4" t="str">
        <f>"     Spice cost per meatball"</f>
        <v xml:space="preserve">     Spice cost per meatball</v>
      </c>
      <c r="G18" s="25">
        <f>(B36/C36/B13)*(B14)</f>
        <v>0.0125</v>
      </c>
      <c r="H18" s="3" t="s">
        <v>51</v>
      </c>
    </row>
    <row r="19" spans="1:8" ht="15">
      <c r="A19" s="3" t="s">
        <v>151</v>
      </c>
      <c r="B19" s="3">
        <v>846</v>
      </c>
      <c r="C19" s="3"/>
      <c r="F19" s="4" t="str">
        <f>"     Meatball mash cost per meatball"</f>
        <v xml:space="preserve">     Meatball mash cost per meatball</v>
      </c>
      <c r="G19" s="25">
        <f>(B37/C37/B13)*B3</f>
        <v>0</v>
      </c>
      <c r="H19" s="3" t="s">
        <v>51</v>
      </c>
    </row>
    <row r="20" spans="1:8" ht="15">
      <c r="A20" s="4" t="s">
        <v>77</v>
      </c>
      <c r="B20" s="14">
        <f>3319-B19</f>
        <v>2473</v>
      </c>
      <c r="C20" s="3"/>
      <c r="D20" s="26"/>
      <c r="F20" s="4" t="str">
        <f>"     Other ingredients cost per meatball"</f>
        <v xml:space="preserve">     Other ingredients cost per meatball</v>
      </c>
      <c r="G20" s="28">
        <f>B39/C39</f>
        <v>0.01925</v>
      </c>
      <c r="H20" s="3" t="s">
        <v>51</v>
      </c>
    </row>
    <row r="21" spans="1:8" ht="15">
      <c r="A21" s="3" t="s">
        <v>16</v>
      </c>
      <c r="B21" s="3">
        <v>0.4</v>
      </c>
      <c r="C21" s="3"/>
      <c r="F21" s="4" t="str">
        <f>"     Other cost per meatball"</f>
        <v xml:space="preserve">     Other cost per meatball</v>
      </c>
      <c r="G21" s="24">
        <f>B40/C40</f>
        <v>0</v>
      </c>
      <c r="H21" s="3" t="s">
        <v>51</v>
      </c>
    </row>
    <row r="22" spans="1:8" ht="15">
      <c r="A22" s="1"/>
      <c r="B22" s="1"/>
      <c r="C22" s="1"/>
      <c r="F22" s="4" t="s">
        <v>82</v>
      </c>
      <c r="G22" s="23">
        <f>B38</f>
        <v>0.5</v>
      </c>
      <c r="H22" s="3" t="s">
        <v>114</v>
      </c>
    </row>
    <row r="23" spans="1:8" ht="15">
      <c r="A23" s="208" t="s">
        <v>53</v>
      </c>
      <c r="B23" s="208"/>
      <c r="C23" s="208"/>
      <c r="F23" s="3" t="s">
        <v>83</v>
      </c>
      <c r="G23" s="25">
        <f>(G12*B4)+G22</f>
        <v>3.19149321911455</v>
      </c>
      <c r="H23" s="3" t="s">
        <v>114</v>
      </c>
    </row>
    <row r="24" spans="1:8" ht="15">
      <c r="A24" s="21" t="s">
        <v>94</v>
      </c>
      <c r="B24" s="22">
        <v>36</v>
      </c>
      <c r="C24" s="20"/>
      <c r="F24" s="3" t="s">
        <v>84</v>
      </c>
      <c r="G24" s="25">
        <f>(G12*B7)+G22</f>
        <v>0.5</v>
      </c>
      <c r="H24" s="3" t="s">
        <v>114</v>
      </c>
    </row>
    <row r="25" spans="1:8" ht="15">
      <c r="A25" s="3" t="s">
        <v>78</v>
      </c>
      <c r="B25" s="3">
        <v>215</v>
      </c>
      <c r="C25" s="17"/>
      <c r="F25" s="3" t="s">
        <v>85</v>
      </c>
      <c r="G25" s="25">
        <f>(G12*B10)+G22</f>
        <v>0.5</v>
      </c>
      <c r="H25" s="3" t="s">
        <v>114</v>
      </c>
    </row>
    <row r="26" spans="1:9" ht="15">
      <c r="A26" s="4" t="s">
        <v>79</v>
      </c>
      <c r="B26" s="3">
        <f>1066-215</f>
        <v>851</v>
      </c>
      <c r="C26" s="17"/>
      <c r="F26" s="3" t="s">
        <v>86</v>
      </c>
      <c r="G26" s="23">
        <f>B5-G23</f>
        <v>2.30850678088545</v>
      </c>
      <c r="H26" s="3" t="s">
        <v>114</v>
      </c>
      <c r="I26" s="32"/>
    </row>
    <row r="27" spans="1:8" ht="15">
      <c r="A27" s="3" t="s">
        <v>58</v>
      </c>
      <c r="B27" s="17">
        <v>0.4</v>
      </c>
      <c r="C27" s="17"/>
      <c r="F27" s="3" t="s">
        <v>87</v>
      </c>
      <c r="G27" s="23">
        <f>IF(B8&gt;0,B8-G24,0)</f>
        <v>0</v>
      </c>
      <c r="H27" s="3" t="s">
        <v>114</v>
      </c>
    </row>
    <row r="28" spans="1:8" ht="15">
      <c r="A28" s="1"/>
      <c r="B28" s="1"/>
      <c r="C28" s="1"/>
      <c r="F28" s="3" t="s">
        <v>88</v>
      </c>
      <c r="G28" s="23">
        <f>IF(B11&gt;0,B11-G25,0)</f>
        <v>0</v>
      </c>
      <c r="H28" s="3" t="s">
        <v>114</v>
      </c>
    </row>
    <row r="29" spans="1:8" ht="15">
      <c r="A29" s="205" t="s">
        <v>38</v>
      </c>
      <c r="B29" s="206"/>
      <c r="C29" s="207"/>
      <c r="F29" s="3" t="s">
        <v>28</v>
      </c>
      <c r="G29" s="31">
        <f>'Pro Forma Income-Meatballs'!B16*'Inputs-Separate'!B46</f>
        <v>128</v>
      </c>
      <c r="H29" s="17" t="str">
        <f>H31</f>
        <v>Annually</v>
      </c>
    </row>
    <row r="30" spans="1:8" ht="15">
      <c r="A30" s="4" t="s">
        <v>130</v>
      </c>
      <c r="B30" s="14">
        <v>2136</v>
      </c>
      <c r="C30" s="3"/>
      <c r="F30" s="3" t="s">
        <v>55</v>
      </c>
      <c r="G30" s="24">
        <f>G9*B17</f>
        <v>13.333333333333334</v>
      </c>
      <c r="H30" s="3" t="str">
        <f>C17</f>
        <v>Annually</v>
      </c>
    </row>
    <row r="31" spans="1:8" ht="15">
      <c r="A31" s="4" t="s">
        <v>89</v>
      </c>
      <c r="B31" s="3">
        <v>815</v>
      </c>
      <c r="C31" s="3"/>
      <c r="F31" s="4" t="s">
        <v>116</v>
      </c>
      <c r="G31" s="30">
        <f>G3/B45</f>
        <v>64</v>
      </c>
      <c r="H31" s="3" t="str">
        <f>C17</f>
        <v>Annually</v>
      </c>
    </row>
    <row r="32" spans="1:3" ht="15">
      <c r="A32" s="4" t="s">
        <v>127</v>
      </c>
      <c r="B32" s="3">
        <v>124</v>
      </c>
      <c r="C32" s="3"/>
    </row>
    <row r="33" spans="1:8" ht="15">
      <c r="A33" s="4" t="s">
        <v>129</v>
      </c>
      <c r="B33" s="17">
        <v>254</v>
      </c>
      <c r="C33" s="18"/>
      <c r="F33" s="205" t="s">
        <v>120</v>
      </c>
      <c r="G33" s="206"/>
      <c r="H33" s="207"/>
    </row>
    <row r="34" spans="1:8" ht="15">
      <c r="A34" s="4" t="s">
        <v>107</v>
      </c>
      <c r="B34" s="17">
        <f>36+158+22</f>
        <v>216</v>
      </c>
      <c r="C34" s="18"/>
      <c r="F34" s="3" t="s">
        <v>121</v>
      </c>
      <c r="G34" s="23">
        <f>(G26*B6)+(G27*B9)+(G28*B12)</f>
        <v>2.30850678088545</v>
      </c>
      <c r="H34" s="3"/>
    </row>
    <row r="35" spans="1:8" ht="15">
      <c r="A35" s="4" t="s">
        <v>128</v>
      </c>
      <c r="B35" s="17">
        <v>197</v>
      </c>
      <c r="C35" s="18"/>
      <c r="F35" s="3" t="s">
        <v>123</v>
      </c>
      <c r="G35" s="3">
        <f>(B5*B6)+(B8*B9)+(B11*B12)</f>
        <v>5.5</v>
      </c>
      <c r="H35" s="3"/>
    </row>
    <row r="36" spans="1:8" ht="15">
      <c r="A36" s="4" t="s">
        <v>52</v>
      </c>
      <c r="B36" s="4">
        <v>20</v>
      </c>
      <c r="C36" s="3">
        <v>5</v>
      </c>
      <c r="D36" t="s">
        <v>41</v>
      </c>
      <c r="F36" s="3" t="s">
        <v>122</v>
      </c>
      <c r="G36" s="3">
        <f>(B4*B6)+(B7*B9)+(B10*B12)</f>
        <v>10</v>
      </c>
      <c r="H36" s="3"/>
    </row>
    <row r="37" spans="1:4" ht="15">
      <c r="A37" s="4" t="s">
        <v>73</v>
      </c>
      <c r="B37" s="3">
        <v>0</v>
      </c>
      <c r="C37" s="17">
        <v>5</v>
      </c>
      <c r="D37" s="19" t="s">
        <v>41</v>
      </c>
    </row>
    <row r="38" spans="1:3" ht="15">
      <c r="A38" s="4" t="s">
        <v>56</v>
      </c>
      <c r="B38" s="4">
        <v>0.5</v>
      </c>
      <c r="C38" s="3"/>
    </row>
    <row r="39" spans="1:4" ht="15">
      <c r="A39" s="4" t="s">
        <v>74</v>
      </c>
      <c r="B39" s="4">
        <f>0.5+0.15+0.4+0.25+0.24</f>
        <v>1.54</v>
      </c>
      <c r="C39" s="3">
        <v>80</v>
      </c>
      <c r="D39" t="s">
        <v>76</v>
      </c>
    </row>
    <row r="40" spans="1:4" ht="15">
      <c r="A40" s="4" t="s">
        <v>75</v>
      </c>
      <c r="B40" s="17">
        <v>0</v>
      </c>
      <c r="C40" s="17">
        <v>80</v>
      </c>
      <c r="D40" t="s">
        <v>76</v>
      </c>
    </row>
    <row r="41" spans="1:2" ht="15">
      <c r="A41" s="1"/>
      <c r="B41" s="1"/>
    </row>
    <row r="42" spans="1:3" ht="15">
      <c r="A42" s="210" t="s">
        <v>19</v>
      </c>
      <c r="B42" s="211"/>
      <c r="C42" s="212"/>
    </row>
    <row r="43" spans="1:3" ht="15">
      <c r="A43" s="4" t="s">
        <v>20</v>
      </c>
      <c r="B43" s="3">
        <v>2</v>
      </c>
      <c r="C43" s="3"/>
    </row>
    <row r="44" spans="1:3" ht="15">
      <c r="A44" s="4" t="s">
        <v>37</v>
      </c>
      <c r="B44" s="3">
        <v>10</v>
      </c>
      <c r="C44" s="3"/>
    </row>
    <row r="45" spans="1:3" ht="15">
      <c r="A45" s="4" t="s">
        <v>152</v>
      </c>
      <c r="B45" s="3">
        <v>300</v>
      </c>
      <c r="C45" s="3"/>
    </row>
    <row r="46" spans="1:3" ht="15">
      <c r="A46" s="4" t="s">
        <v>101</v>
      </c>
      <c r="B46" s="5">
        <v>0.1</v>
      </c>
      <c r="C46" s="3"/>
    </row>
    <row r="47" spans="1:5" ht="15">
      <c r="A47" s="4" t="s">
        <v>35</v>
      </c>
      <c r="B47" s="36">
        <v>200</v>
      </c>
      <c r="C47" s="3" t="s">
        <v>33</v>
      </c>
      <c r="D47" s="15" t="s">
        <v>34</v>
      </c>
      <c r="E47" s="10"/>
    </row>
    <row r="48" spans="1:5" ht="15">
      <c r="A48" s="4" t="s">
        <v>118</v>
      </c>
      <c r="B48" s="36">
        <v>0</v>
      </c>
      <c r="C48" s="3" t="s">
        <v>33</v>
      </c>
      <c r="D48" s="15" t="s">
        <v>34</v>
      </c>
      <c r="E48" s="10"/>
    </row>
    <row r="49" spans="1:5" ht="15">
      <c r="A49" s="4" t="s">
        <v>119</v>
      </c>
      <c r="B49" s="36">
        <v>500</v>
      </c>
      <c r="C49" s="3" t="s">
        <v>33</v>
      </c>
      <c r="D49" s="15" t="s">
        <v>34</v>
      </c>
      <c r="E49" s="10"/>
    </row>
    <row r="50" spans="1:5" ht="15">
      <c r="A50" s="4" t="s">
        <v>36</v>
      </c>
      <c r="B50" s="3">
        <v>0</v>
      </c>
      <c r="C50" s="3" t="s">
        <v>32</v>
      </c>
      <c r="D50" s="15" t="s">
        <v>34</v>
      </c>
      <c r="E50" s="10"/>
    </row>
    <row r="52" spans="1:3" ht="15">
      <c r="A52" s="210" t="s">
        <v>24</v>
      </c>
      <c r="B52" s="211"/>
      <c r="C52" s="212"/>
    </row>
    <row r="53" spans="1:5" ht="15">
      <c r="A53" s="3" t="s">
        <v>27</v>
      </c>
      <c r="B53" s="3">
        <v>0</v>
      </c>
      <c r="C53" s="3" t="s">
        <v>33</v>
      </c>
      <c r="D53" s="15" t="s">
        <v>34</v>
      </c>
      <c r="E53" s="10"/>
    </row>
    <row r="54" spans="1:5" ht="15">
      <c r="A54" s="3" t="s">
        <v>25</v>
      </c>
      <c r="B54" s="3">
        <v>0</v>
      </c>
      <c r="C54" s="3" t="s">
        <v>33</v>
      </c>
      <c r="D54" s="15" t="s">
        <v>34</v>
      </c>
      <c r="E54" s="10"/>
    </row>
    <row r="55" spans="1:7" ht="15">
      <c r="A55" s="3" t="s">
        <v>26</v>
      </c>
      <c r="B55" s="36">
        <v>500</v>
      </c>
      <c r="C55" s="3" t="s">
        <v>33</v>
      </c>
      <c r="D55" s="15" t="s">
        <v>34</v>
      </c>
      <c r="E55" s="10"/>
      <c r="G55" s="11"/>
    </row>
    <row r="56" spans="1:5" ht="15">
      <c r="A56" s="3" t="s">
        <v>145</v>
      </c>
      <c r="B56" s="36">
        <v>0</v>
      </c>
      <c r="C56" s="3" t="s">
        <v>33</v>
      </c>
      <c r="D56" s="15" t="s">
        <v>34</v>
      </c>
      <c r="E56" s="10"/>
    </row>
    <row r="58" spans="1:3" ht="15">
      <c r="A58" s="209" t="s">
        <v>29</v>
      </c>
      <c r="B58" s="209"/>
      <c r="C58" s="209"/>
    </row>
    <row r="59" spans="1:3" ht="15">
      <c r="A59" s="3" t="s">
        <v>21</v>
      </c>
      <c r="B59" s="5">
        <v>0</v>
      </c>
      <c r="C59" s="3"/>
    </row>
    <row r="60" spans="1:3" ht="15">
      <c r="A60" s="3" t="s">
        <v>22</v>
      </c>
      <c r="B60" s="3">
        <v>0</v>
      </c>
      <c r="C60" s="3"/>
    </row>
    <row r="61" spans="1:3" ht="15">
      <c r="A61" s="4" t="s">
        <v>146</v>
      </c>
      <c r="B61" s="68">
        <v>0.3</v>
      </c>
      <c r="C61" s="3"/>
    </row>
    <row r="62" spans="1:3" ht="15">
      <c r="A62" s="4" t="s">
        <v>147</v>
      </c>
      <c r="B62" s="68">
        <v>0.3</v>
      </c>
      <c r="C62" s="3"/>
    </row>
  </sheetData>
  <mergeCells count="10">
    <mergeCell ref="F1:H1"/>
    <mergeCell ref="F11:H11"/>
    <mergeCell ref="A23:C23"/>
    <mergeCell ref="A1:C1"/>
    <mergeCell ref="A58:C58"/>
    <mergeCell ref="A29:C29"/>
    <mergeCell ref="A52:C52"/>
    <mergeCell ref="A16:C16"/>
    <mergeCell ref="A42:C42"/>
    <mergeCell ref="F33:H33"/>
  </mergeCells>
  <dataValidations count="2">
    <dataValidation type="list" showInputMessage="1" showErrorMessage="1" promptTitle="Frequency" sqref="C53:C56 C47:C48 C50">
      <formula1>Frequency</formula1>
    </dataValidation>
    <dataValidation type="list" showInputMessage="1" showErrorMessage="1" promptTitle="Frequency" sqref="C49">
      <formula1>'frequency dropdown options'!$A$6:$A$7</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election activeCell="A8" sqref="A8"/>
    </sheetView>
  </sheetViews>
  <sheetFormatPr defaultColWidth="8.8515625" defaultRowHeight="15"/>
  <sheetData>
    <row r="1" ht="15">
      <c r="A1" t="s">
        <v>30</v>
      </c>
    </row>
    <row r="2" ht="15">
      <c r="A2" t="s">
        <v>31</v>
      </c>
    </row>
    <row r="3" ht="15">
      <c r="A3" t="s">
        <v>32</v>
      </c>
    </row>
    <row r="4" ht="15">
      <c r="A4" t="s">
        <v>33</v>
      </c>
    </row>
    <row r="6" ht="15">
      <c r="A6" t="s">
        <v>32</v>
      </c>
    </row>
    <row r="7" ht="15">
      <c r="A7" t="s">
        <v>33</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topLeftCell="A1">
      <selection activeCell="A1" sqref="A1:C1"/>
    </sheetView>
  </sheetViews>
  <sheetFormatPr defaultColWidth="8.8515625" defaultRowHeight="15"/>
  <cols>
    <col min="1" max="1" width="76.421875" style="0" bestFit="1" customWidth="1"/>
    <col min="2" max="2" width="9.421875" style="0" bestFit="1" customWidth="1"/>
    <col min="3" max="3" width="13.421875" style="0" customWidth="1"/>
    <col min="4" max="4" width="12.00390625" style="0" bestFit="1" customWidth="1"/>
    <col min="6" max="6" width="46.8515625" style="0" customWidth="1"/>
    <col min="7" max="7" width="11.421875" style="0" bestFit="1" customWidth="1"/>
    <col min="8" max="8" width="12.140625" style="0" bestFit="1" customWidth="1"/>
  </cols>
  <sheetData>
    <row r="1" spans="1:8" ht="15">
      <c r="A1" s="205" t="s">
        <v>18</v>
      </c>
      <c r="B1" s="206"/>
      <c r="C1" s="207"/>
      <c r="D1" s="16"/>
      <c r="F1" s="205" t="s">
        <v>57</v>
      </c>
      <c r="G1" s="206"/>
      <c r="H1" s="207"/>
    </row>
    <row r="2" spans="1:8" ht="15">
      <c r="A2" s="4" t="s">
        <v>71</v>
      </c>
      <c r="B2" s="5">
        <f>'Inputs-Separate'!B2</f>
        <v>0.8</v>
      </c>
      <c r="C2" s="3"/>
      <c r="D2" s="1"/>
      <c r="E2" s="10"/>
      <c r="F2" s="3" t="s">
        <v>42</v>
      </c>
      <c r="G2" s="14">
        <f>(B18*B13)/B21</f>
        <v>4800</v>
      </c>
      <c r="H2" s="3" t="s">
        <v>50</v>
      </c>
    </row>
    <row r="3" spans="1:8" ht="15">
      <c r="A3" s="3" t="s">
        <v>17</v>
      </c>
      <c r="B3" s="3">
        <f>'Inputs-Separate'!B3</f>
        <v>1</v>
      </c>
      <c r="C3" s="3"/>
      <c r="D3" s="16"/>
      <c r="F3" s="4" t="s">
        <v>23</v>
      </c>
      <c r="G3" s="14">
        <f>(B17*B18*B13)/B21</f>
        <v>19200</v>
      </c>
      <c r="H3" s="3" t="str">
        <f>C17</f>
        <v>Annually</v>
      </c>
    </row>
    <row r="4" spans="1:8" ht="15">
      <c r="A4" s="3" t="s">
        <v>62</v>
      </c>
      <c r="B4" s="3">
        <f>'Inputs-Separate'!B4</f>
        <v>10</v>
      </c>
      <c r="C4" s="3"/>
      <c r="D4" s="1"/>
      <c r="F4" s="4" t="s">
        <v>90</v>
      </c>
      <c r="G4" s="14">
        <f>(G3*B6)/B4</f>
        <v>1920</v>
      </c>
      <c r="H4" s="3" t="str">
        <f>C17</f>
        <v>Annually</v>
      </c>
    </row>
    <row r="5" spans="1:8" ht="15">
      <c r="A5" s="3" t="s">
        <v>63</v>
      </c>
      <c r="B5" s="3">
        <f>'Inputs-Separate'!B5</f>
        <v>5.5</v>
      </c>
      <c r="C5" s="3"/>
      <c r="F5" s="4" t="s">
        <v>91</v>
      </c>
      <c r="G5" s="14">
        <f>IF(B7&gt;0,(G3*B9)/B7,0)</f>
        <v>0</v>
      </c>
      <c r="H5" s="3" t="str">
        <f>C17</f>
        <v>Annually</v>
      </c>
    </row>
    <row r="6" spans="1:8" ht="15">
      <c r="A6" s="3" t="s">
        <v>68</v>
      </c>
      <c r="B6" s="5">
        <f>'Inputs-Separate'!B6</f>
        <v>1</v>
      </c>
      <c r="C6" s="3"/>
      <c r="F6" s="4" t="s">
        <v>92</v>
      </c>
      <c r="G6" s="14">
        <f>IF(B10&gt;0,(G3*B12)/B10,0)</f>
        <v>0</v>
      </c>
      <c r="H6" s="3" t="str">
        <f>C17</f>
        <v>Annually</v>
      </c>
    </row>
    <row r="7" spans="1:8" ht="15">
      <c r="A7" s="3" t="s">
        <v>64</v>
      </c>
      <c r="B7" s="35">
        <f>'Inputs-Separate'!B7</f>
        <v>0</v>
      </c>
      <c r="C7" s="3"/>
      <c r="F7" s="3" t="s">
        <v>80</v>
      </c>
      <c r="G7" s="14">
        <f>SUM(G4:G6)</f>
        <v>1920</v>
      </c>
      <c r="H7" s="3" t="str">
        <f>C17</f>
        <v>Annually</v>
      </c>
    </row>
    <row r="8" spans="1:8" ht="15">
      <c r="A8" s="3" t="s">
        <v>65</v>
      </c>
      <c r="B8" s="35">
        <f>'Inputs-Separate'!B8</f>
        <v>0</v>
      </c>
      <c r="C8" s="3"/>
      <c r="F8" s="3" t="s">
        <v>59</v>
      </c>
      <c r="G8" s="14">
        <f>(B24*B13)/B27</f>
        <v>1440</v>
      </c>
      <c r="H8" s="3" t="s">
        <v>60</v>
      </c>
    </row>
    <row r="9" spans="1:8" ht="15">
      <c r="A9" s="3" t="s">
        <v>69</v>
      </c>
      <c r="B9" s="5">
        <f>'Inputs-Separate'!B9</f>
        <v>0</v>
      </c>
      <c r="C9" s="3"/>
      <c r="F9" s="4" t="s">
        <v>61</v>
      </c>
      <c r="G9" s="23">
        <f>G2/G8</f>
        <v>3.3333333333333335</v>
      </c>
      <c r="H9" s="3"/>
    </row>
    <row r="10" spans="1:8" ht="15">
      <c r="A10" s="3" t="s">
        <v>66</v>
      </c>
      <c r="B10" s="35">
        <f>'Inputs-Separate'!B10</f>
        <v>0</v>
      </c>
      <c r="C10" s="3"/>
      <c r="F10" s="10"/>
      <c r="G10" s="29"/>
      <c r="H10" s="1"/>
    </row>
    <row r="11" spans="1:8" ht="15">
      <c r="A11" s="3" t="s">
        <v>67</v>
      </c>
      <c r="B11" s="35">
        <f>'Inputs-Separate'!B11</f>
        <v>0</v>
      </c>
      <c r="C11" s="3"/>
      <c r="F11" s="205" t="s">
        <v>48</v>
      </c>
      <c r="G11" s="206"/>
      <c r="H11" s="207"/>
    </row>
    <row r="12" spans="1:8" ht="15">
      <c r="A12" s="3" t="s">
        <v>70</v>
      </c>
      <c r="B12" s="5">
        <f>'Inputs-Separate'!B12</f>
        <v>0</v>
      </c>
      <c r="C12" s="3"/>
      <c r="F12" s="3" t="s">
        <v>49</v>
      </c>
      <c r="G12" s="23">
        <f>SUM(G13:G21)</f>
        <v>0.2635203005921764</v>
      </c>
      <c r="H12" s="3"/>
    </row>
    <row r="13" spans="1:8" ht="15">
      <c r="A13" s="3" t="s">
        <v>72</v>
      </c>
      <c r="B13" s="35">
        <f>'Inputs-Separate'!B13</f>
        <v>16</v>
      </c>
      <c r="C13" s="3"/>
      <c r="F13" s="4" t="str">
        <f>"     Cow cost per meatball"</f>
        <v xml:space="preserve">     Cow cost per meatball</v>
      </c>
      <c r="G13" s="23">
        <f>(B30*(B19/(B19+B20)))/G2</f>
        <v>0.11342874359746913</v>
      </c>
      <c r="H13" s="3" t="s">
        <v>51</v>
      </c>
    </row>
    <row r="14" spans="1:8" ht="15">
      <c r="A14" s="4" t="s">
        <v>110</v>
      </c>
      <c r="B14" s="41">
        <f>'Inputs-Separate'!B14</f>
        <v>0.05</v>
      </c>
      <c r="C14" s="3"/>
      <c r="F14" s="4" t="str">
        <f>"     Cow butcher cost per meatball"</f>
        <v xml:space="preserve">     Cow butcher cost per meatball</v>
      </c>
      <c r="G14" s="23">
        <f>(($B$31/($B$20+$B$19))*$B$19)/($G$2)</f>
        <v>0.04327922567038265</v>
      </c>
      <c r="H14" s="3" t="s">
        <v>51</v>
      </c>
    </row>
    <row r="15" spans="6:8" ht="15">
      <c r="F15" s="4" t="str">
        <f>"     Hog cost per meatball"</f>
        <v xml:space="preserve">     Hog cost per meatball</v>
      </c>
      <c r="G15" s="24">
        <f>(B32*(B25/(B25+B26)))/G8</f>
        <v>0.03557562017927871</v>
      </c>
      <c r="H15" s="3" t="s">
        <v>51</v>
      </c>
    </row>
    <row r="16" spans="1:8" ht="15">
      <c r="A16" s="205" t="s">
        <v>54</v>
      </c>
      <c r="B16" s="206"/>
      <c r="C16" s="207"/>
      <c r="F16" s="4" t="str">
        <f>"     Hog butcher cost per meatball"</f>
        <v xml:space="preserve">     Hog butcher cost per meatball</v>
      </c>
      <c r="G16" s="24">
        <f>(($B$33/($B$25+$B$26))*$B$25)/G8</f>
        <v>0.03025328330206379</v>
      </c>
      <c r="H16" s="3" t="s">
        <v>51</v>
      </c>
    </row>
    <row r="17" spans="1:8" ht="15">
      <c r="A17" s="3" t="s">
        <v>106</v>
      </c>
      <c r="B17" s="3">
        <f>'Inputs-Separate'!B17</f>
        <v>4</v>
      </c>
      <c r="C17" s="3" t="s">
        <v>33</v>
      </c>
      <c r="F17" s="4" t="str">
        <f>"     All transportation costs per meatball"</f>
        <v xml:space="preserve">     All transportation costs per meatball</v>
      </c>
      <c r="G17" s="24">
        <f>(B34*(((B17*B25)+B19)/(B19+B20+(4*(B25+B26)))))/G2</f>
        <v>0.009233427842982108</v>
      </c>
      <c r="H17" s="3" t="s">
        <v>51</v>
      </c>
    </row>
    <row r="18" spans="1:8" ht="15">
      <c r="A18" s="3" t="s">
        <v>81</v>
      </c>
      <c r="B18" s="3">
        <f>'Inputs-Separate'!B18</f>
        <v>120</v>
      </c>
      <c r="C18" s="3"/>
      <c r="F18" s="4" t="str">
        <f>"     Spice cost per meatball"</f>
        <v xml:space="preserve">     Spice cost per meatball</v>
      </c>
      <c r="G18" s="25">
        <f>(B35/C35/B13)*(B14)</f>
        <v>0.0125</v>
      </c>
      <c r="H18" s="3" t="s">
        <v>51</v>
      </c>
    </row>
    <row r="19" spans="1:8" ht="15">
      <c r="A19" s="3" t="s">
        <v>151</v>
      </c>
      <c r="B19" s="3">
        <f>'Inputs-Separate'!B19</f>
        <v>846</v>
      </c>
      <c r="C19" s="3"/>
      <c r="F19" s="4" t="str">
        <f>"     Meatball mash cost per meatball"</f>
        <v xml:space="preserve">     Meatball mash cost per meatball</v>
      </c>
      <c r="G19" s="25">
        <f>(B36/C36/B13)*B3</f>
        <v>0</v>
      </c>
      <c r="H19" s="3" t="s">
        <v>51</v>
      </c>
    </row>
    <row r="20" spans="1:8" ht="15">
      <c r="A20" s="4" t="s">
        <v>77</v>
      </c>
      <c r="B20" s="3">
        <f>'Inputs-Separate'!B20</f>
        <v>2473</v>
      </c>
      <c r="C20" s="3"/>
      <c r="D20" s="26"/>
      <c r="F20" s="4" t="str">
        <f>"     Other ingredients cost per meatball"</f>
        <v xml:space="preserve">     Other ingredients cost per meatball</v>
      </c>
      <c r="G20" s="28">
        <f>B38/C38</f>
        <v>0.01925</v>
      </c>
      <c r="H20" s="3" t="s">
        <v>51</v>
      </c>
    </row>
    <row r="21" spans="1:8" ht="15">
      <c r="A21" s="3" t="s">
        <v>16</v>
      </c>
      <c r="B21" s="3">
        <f>'Inputs-Separate'!B21</f>
        <v>0.4</v>
      </c>
      <c r="C21" s="3"/>
      <c r="F21" s="4" t="str">
        <f>"     Other cost per meatball"</f>
        <v xml:space="preserve">     Other cost per meatball</v>
      </c>
      <c r="G21" s="24">
        <f>B39/C39</f>
        <v>0</v>
      </c>
      <c r="H21" s="3" t="s">
        <v>51</v>
      </c>
    </row>
    <row r="22" spans="1:8" ht="15">
      <c r="A22" s="1"/>
      <c r="B22" s="1"/>
      <c r="C22" s="1"/>
      <c r="F22" s="4" t="s">
        <v>82</v>
      </c>
      <c r="G22" s="23">
        <f>B37</f>
        <v>0.5</v>
      </c>
      <c r="H22" s="3" t="s">
        <v>114</v>
      </c>
    </row>
    <row r="23" spans="1:8" ht="15">
      <c r="A23" s="208" t="s">
        <v>53</v>
      </c>
      <c r="B23" s="208"/>
      <c r="C23" s="208"/>
      <c r="F23" s="3" t="s">
        <v>83</v>
      </c>
      <c r="G23" s="25">
        <f>(G12*B4)+G22</f>
        <v>3.135203005921764</v>
      </c>
      <c r="H23" s="3" t="s">
        <v>114</v>
      </c>
    </row>
    <row r="24" spans="1:8" ht="15">
      <c r="A24" s="21" t="s">
        <v>94</v>
      </c>
      <c r="B24" s="22">
        <f>'Inputs-Separate'!B24</f>
        <v>36</v>
      </c>
      <c r="C24" s="20"/>
      <c r="F24" s="3" t="s">
        <v>84</v>
      </c>
      <c r="G24" s="25">
        <f>(G12*B7)+G22</f>
        <v>0.5</v>
      </c>
      <c r="H24" s="3" t="s">
        <v>114</v>
      </c>
    </row>
    <row r="25" spans="1:8" ht="15">
      <c r="A25" s="3" t="s">
        <v>78</v>
      </c>
      <c r="B25" s="22">
        <f>'Inputs-Separate'!B25</f>
        <v>215</v>
      </c>
      <c r="C25" s="17"/>
      <c r="F25" s="3" t="s">
        <v>85</v>
      </c>
      <c r="G25" s="25">
        <f>(G12*B10)+G22</f>
        <v>0.5</v>
      </c>
      <c r="H25" s="3" t="s">
        <v>114</v>
      </c>
    </row>
    <row r="26" spans="1:9" ht="15">
      <c r="A26" s="4" t="s">
        <v>79</v>
      </c>
      <c r="B26" s="22">
        <f>'Inputs-Separate'!B26</f>
        <v>851</v>
      </c>
      <c r="C26" s="17"/>
      <c r="F26" s="3" t="s">
        <v>86</v>
      </c>
      <c r="G26" s="23">
        <f>B5-G23</f>
        <v>2.364796994078236</v>
      </c>
      <c r="H26" s="3" t="s">
        <v>114</v>
      </c>
      <c r="I26" s="32"/>
    </row>
    <row r="27" spans="1:8" ht="15">
      <c r="A27" s="3" t="s">
        <v>58</v>
      </c>
      <c r="B27" s="22">
        <f>'Inputs-Separate'!B27</f>
        <v>0.4</v>
      </c>
      <c r="C27" s="17"/>
      <c r="F27" s="3" t="s">
        <v>87</v>
      </c>
      <c r="G27" s="23">
        <f>IF(B8&gt;0,B8-G24,0)</f>
        <v>0</v>
      </c>
      <c r="H27" s="3" t="s">
        <v>114</v>
      </c>
    </row>
    <row r="28" spans="1:8" ht="15">
      <c r="A28" s="1"/>
      <c r="B28" s="1"/>
      <c r="C28" s="1"/>
      <c r="F28" s="3" t="s">
        <v>88</v>
      </c>
      <c r="G28" s="23">
        <f>IF(B11&gt;0,B11-G25,0)</f>
        <v>0</v>
      </c>
      <c r="H28" s="3" t="s">
        <v>114</v>
      </c>
    </row>
    <row r="29" spans="1:8" ht="15">
      <c r="A29" s="205" t="s">
        <v>38</v>
      </c>
      <c r="B29" s="206"/>
      <c r="C29" s="207"/>
      <c r="F29" s="3" t="s">
        <v>28</v>
      </c>
      <c r="G29" s="31">
        <f>'Pro Forma Income-Meatballs'!B16*'Inputs-Consolidated'!B45</f>
        <v>128</v>
      </c>
      <c r="H29" s="17" t="str">
        <f>H31</f>
        <v>Annually</v>
      </c>
    </row>
    <row r="30" spans="1:8" ht="15">
      <c r="A30" s="4" t="s">
        <v>130</v>
      </c>
      <c r="B30" s="14">
        <f>'Inputs-Separate'!B30</f>
        <v>2136</v>
      </c>
      <c r="C30" s="3"/>
      <c r="F30" s="3" t="s">
        <v>55</v>
      </c>
      <c r="G30" s="24">
        <f>G9*B17</f>
        <v>13.333333333333334</v>
      </c>
      <c r="H30" s="3" t="str">
        <f>C17</f>
        <v>Annually</v>
      </c>
    </row>
    <row r="31" spans="1:8" ht="15">
      <c r="A31" s="4" t="s">
        <v>89</v>
      </c>
      <c r="B31" s="3">
        <f>'Inputs-Separate'!B31</f>
        <v>815</v>
      </c>
      <c r="C31" s="3"/>
      <c r="F31" s="4" t="s">
        <v>116</v>
      </c>
      <c r="G31" s="30">
        <f>G3/B44</f>
        <v>64</v>
      </c>
      <c r="H31" s="3" t="str">
        <f>C17</f>
        <v>Annually</v>
      </c>
    </row>
    <row r="32" spans="1:3" ht="15">
      <c r="A32" s="4" t="s">
        <v>129</v>
      </c>
      <c r="B32" s="17">
        <f>'Inputs-Separate'!B33</f>
        <v>254</v>
      </c>
      <c r="C32" s="18"/>
    </row>
    <row r="33" spans="1:8" ht="15">
      <c r="A33" s="4" t="s">
        <v>107</v>
      </c>
      <c r="B33" s="17">
        <f>'Inputs-Separate'!B34</f>
        <v>216</v>
      </c>
      <c r="C33" s="18"/>
      <c r="F33" s="205" t="s">
        <v>120</v>
      </c>
      <c r="G33" s="206"/>
      <c r="H33" s="207"/>
    </row>
    <row r="34" spans="1:8" ht="15">
      <c r="A34" s="4" t="s">
        <v>131</v>
      </c>
      <c r="B34" s="42">
        <v>197</v>
      </c>
      <c r="C34" s="18"/>
      <c r="F34" s="3" t="s">
        <v>121</v>
      </c>
      <c r="G34" s="23">
        <f>(G26*B6)+(G27*B9)+(G28*B12)</f>
        <v>2.364796994078236</v>
      </c>
      <c r="H34" s="3"/>
    </row>
    <row r="35" spans="1:8" ht="15">
      <c r="A35" s="4" t="s">
        <v>52</v>
      </c>
      <c r="B35" s="4">
        <f>'Inputs-Separate'!B36</f>
        <v>20</v>
      </c>
      <c r="C35" s="3">
        <f>'Inputs-Separate'!C36</f>
        <v>5</v>
      </c>
      <c r="D35" t="s">
        <v>169</v>
      </c>
      <c r="F35" s="3" t="s">
        <v>123</v>
      </c>
      <c r="G35" s="3">
        <f>(B5*B6)+(B8*B9)+(B11*B12)</f>
        <v>5.5</v>
      </c>
      <c r="H35" s="3"/>
    </row>
    <row r="36" spans="1:8" ht="15">
      <c r="A36" s="4" t="s">
        <v>73</v>
      </c>
      <c r="B36" s="3">
        <f>'Inputs-Separate'!B37</f>
        <v>0</v>
      </c>
      <c r="C36" s="17">
        <f>'Inputs-Separate'!C37</f>
        <v>5</v>
      </c>
      <c r="D36" s="19" t="s">
        <v>169</v>
      </c>
      <c r="F36" s="3" t="s">
        <v>122</v>
      </c>
      <c r="G36" s="3">
        <f>(B4*B6)+(B7*B9)+(B10*B12)</f>
        <v>10</v>
      </c>
      <c r="H36" s="3"/>
    </row>
    <row r="37" spans="1:3" ht="15">
      <c r="A37" s="4" t="s">
        <v>56</v>
      </c>
      <c r="B37" s="4">
        <f>'Inputs-Separate'!B38</f>
        <v>0.5</v>
      </c>
      <c r="C37" s="3"/>
    </row>
    <row r="38" spans="1:4" ht="15">
      <c r="A38" s="4" t="s">
        <v>168</v>
      </c>
      <c r="B38" s="3">
        <f>'Inputs-Separate'!B39</f>
        <v>1.54</v>
      </c>
      <c r="C38" s="3">
        <f>'Inputs-Separate'!C39</f>
        <v>80</v>
      </c>
      <c r="D38" t="s">
        <v>76</v>
      </c>
    </row>
    <row r="39" spans="1:4" ht="15">
      <c r="A39" s="4" t="s">
        <v>75</v>
      </c>
      <c r="B39" s="17">
        <f>'Inputs-Separate'!B40</f>
        <v>0</v>
      </c>
      <c r="C39" s="17">
        <f>'Inputs-Separate'!C40</f>
        <v>80</v>
      </c>
      <c r="D39" t="s">
        <v>76</v>
      </c>
    </row>
    <row r="40" spans="1:2" ht="15">
      <c r="A40" s="1"/>
      <c r="B40" s="1"/>
    </row>
    <row r="41" spans="1:3" ht="15">
      <c r="A41" s="210" t="s">
        <v>19</v>
      </c>
      <c r="B41" s="211"/>
      <c r="C41" s="212"/>
    </row>
    <row r="42" spans="1:3" ht="15">
      <c r="A42" s="4" t="s">
        <v>20</v>
      </c>
      <c r="B42" s="3">
        <f>'Inputs-Separate'!B43</f>
        <v>2</v>
      </c>
      <c r="C42" s="3"/>
    </row>
    <row r="43" spans="1:3" ht="15">
      <c r="A43" s="4" t="s">
        <v>37</v>
      </c>
      <c r="B43" s="3">
        <f>'Inputs-Separate'!B44</f>
        <v>10</v>
      </c>
      <c r="C43" s="3"/>
    </row>
    <row r="44" spans="1:3" ht="15">
      <c r="A44" s="4" t="s">
        <v>153</v>
      </c>
      <c r="B44" s="3">
        <f>'Inputs-Separate'!B45</f>
        <v>300</v>
      </c>
      <c r="C44" s="3"/>
    </row>
    <row r="45" spans="1:3" ht="15">
      <c r="A45" s="4" t="s">
        <v>101</v>
      </c>
      <c r="B45" s="5">
        <f>'Inputs-Separate'!B46</f>
        <v>0.1</v>
      </c>
      <c r="C45" s="3"/>
    </row>
    <row r="46" spans="1:5" ht="15">
      <c r="A46" s="4" t="s">
        <v>35</v>
      </c>
      <c r="B46" s="4">
        <f>'Inputs-Separate'!B47</f>
        <v>200</v>
      </c>
      <c r="C46" s="3" t="s">
        <v>33</v>
      </c>
      <c r="D46" s="15" t="s">
        <v>34</v>
      </c>
      <c r="E46" s="10"/>
    </row>
    <row r="47" spans="1:5" ht="15">
      <c r="A47" s="4" t="s">
        <v>118</v>
      </c>
      <c r="B47" s="4">
        <f>'Inputs-Separate'!B48</f>
        <v>0</v>
      </c>
      <c r="C47" s="3" t="s">
        <v>33</v>
      </c>
      <c r="D47" s="15" t="s">
        <v>34</v>
      </c>
      <c r="E47" s="10"/>
    </row>
    <row r="48" spans="1:5" ht="15">
      <c r="A48" s="4" t="s">
        <v>119</v>
      </c>
      <c r="B48" s="4">
        <f>'Inputs-Separate'!B49</f>
        <v>500</v>
      </c>
      <c r="C48" s="3" t="s">
        <v>33</v>
      </c>
      <c r="D48" s="15" t="s">
        <v>34</v>
      </c>
      <c r="E48" s="10"/>
    </row>
    <row r="49" spans="1:5" ht="15">
      <c r="A49" s="4" t="s">
        <v>36</v>
      </c>
      <c r="B49" s="3">
        <f>'Inputs-Separate'!B50</f>
        <v>0</v>
      </c>
      <c r="C49" s="3" t="s">
        <v>32</v>
      </c>
      <c r="D49" s="15" t="s">
        <v>34</v>
      </c>
      <c r="E49" s="10"/>
    </row>
    <row r="51" spans="1:3" ht="15">
      <c r="A51" s="210" t="s">
        <v>24</v>
      </c>
      <c r="B51" s="211"/>
      <c r="C51" s="212"/>
    </row>
    <row r="52" spans="1:5" ht="15">
      <c r="A52" s="3" t="s">
        <v>27</v>
      </c>
      <c r="B52" s="3">
        <f>'Inputs-Separate'!B53</f>
        <v>0</v>
      </c>
      <c r="C52" s="3" t="s">
        <v>33</v>
      </c>
      <c r="D52" s="15" t="s">
        <v>34</v>
      </c>
      <c r="E52" s="10"/>
    </row>
    <row r="53" spans="1:5" ht="15">
      <c r="A53" s="3" t="s">
        <v>25</v>
      </c>
      <c r="B53" s="3">
        <f>'Inputs-Separate'!B54</f>
        <v>0</v>
      </c>
      <c r="C53" s="3" t="s">
        <v>33</v>
      </c>
      <c r="D53" s="15" t="s">
        <v>34</v>
      </c>
      <c r="E53" s="10"/>
    </row>
    <row r="54" spans="1:7" ht="15">
      <c r="A54" s="3" t="s">
        <v>26</v>
      </c>
      <c r="B54" s="4">
        <f>'Inputs-Separate'!B55</f>
        <v>500</v>
      </c>
      <c r="C54" s="3" t="s">
        <v>33</v>
      </c>
      <c r="D54" s="15" t="s">
        <v>34</v>
      </c>
      <c r="E54" s="10"/>
      <c r="G54" s="11"/>
    </row>
    <row r="55" spans="1:5" ht="15">
      <c r="A55" s="3" t="s">
        <v>145</v>
      </c>
      <c r="B55" s="4">
        <f>'Inputs-Separate'!B56</f>
        <v>0</v>
      </c>
      <c r="C55" s="3" t="s">
        <v>33</v>
      </c>
      <c r="D55" s="15" t="s">
        <v>34</v>
      </c>
      <c r="E55" s="10"/>
    </row>
    <row r="57" spans="1:3" ht="15">
      <c r="A57" s="209" t="s">
        <v>29</v>
      </c>
      <c r="B57" s="209"/>
      <c r="C57" s="209"/>
    </row>
    <row r="58" spans="1:3" ht="15">
      <c r="A58" s="3" t="s">
        <v>21</v>
      </c>
      <c r="B58" s="5">
        <f>'Inputs-Separate'!B59</f>
        <v>0</v>
      </c>
      <c r="C58" s="3"/>
    </row>
    <row r="59" spans="1:3" ht="15">
      <c r="A59" s="3" t="s">
        <v>22</v>
      </c>
      <c r="B59" s="35">
        <f>'Inputs-Separate'!B60</f>
        <v>0</v>
      </c>
      <c r="C59" s="3"/>
    </row>
    <row r="60" spans="1:3" ht="15">
      <c r="A60" s="4" t="s">
        <v>146</v>
      </c>
      <c r="B60" s="68">
        <v>0.3</v>
      </c>
      <c r="C60" s="3"/>
    </row>
    <row r="61" spans="1:3" ht="15">
      <c r="A61" s="4" t="s">
        <v>147</v>
      </c>
      <c r="B61" s="68">
        <v>0.3</v>
      </c>
      <c r="C61" s="3"/>
    </row>
    <row r="68" ht="15">
      <c r="E68" s="12"/>
    </row>
  </sheetData>
  <mergeCells count="10">
    <mergeCell ref="F33:H33"/>
    <mergeCell ref="A41:C41"/>
    <mergeCell ref="A51:C51"/>
    <mergeCell ref="A57:C57"/>
    <mergeCell ref="A1:C1"/>
    <mergeCell ref="F1:H1"/>
    <mergeCell ref="F11:H11"/>
    <mergeCell ref="A16:C16"/>
    <mergeCell ref="A23:C23"/>
    <mergeCell ref="A29:C29"/>
  </mergeCells>
  <dataValidations count="2">
    <dataValidation type="list" showInputMessage="1" showErrorMessage="1" promptTitle="Frequency" sqref="C52:C55 C46:C47 C49">
      <formula1>Frequency</formula1>
    </dataValidation>
    <dataValidation type="list" showInputMessage="1" showErrorMessage="1" promptTitle="Frequency" sqref="C48">
      <formula1>'frequency dropdown options'!$A$6:$A$7</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workbookViewId="0" topLeftCell="A8">
      <selection activeCell="B8" sqref="B8"/>
    </sheetView>
  </sheetViews>
  <sheetFormatPr defaultColWidth="8.8515625" defaultRowHeight="15"/>
  <cols>
    <col min="1" max="1" width="76.421875" style="0" bestFit="1" customWidth="1"/>
    <col min="2" max="2" width="9.421875" style="0" bestFit="1" customWidth="1"/>
    <col min="3" max="3" width="13.421875" style="0" customWidth="1"/>
    <col min="4" max="4" width="12.00390625" style="0" bestFit="1" customWidth="1"/>
    <col min="6" max="6" width="46.8515625" style="0" customWidth="1"/>
    <col min="7" max="7" width="11.421875" style="0" bestFit="1" customWidth="1"/>
    <col min="8" max="8" width="12.140625" style="0" bestFit="1" customWidth="1"/>
  </cols>
  <sheetData>
    <row r="1" spans="1:8" ht="15">
      <c r="A1" s="205" t="s">
        <v>18</v>
      </c>
      <c r="B1" s="206"/>
      <c r="C1" s="207"/>
      <c r="D1" s="16"/>
      <c r="F1" s="205" t="s">
        <v>57</v>
      </c>
      <c r="G1" s="206"/>
      <c r="H1" s="207"/>
    </row>
    <row r="2" spans="1:8" ht="15">
      <c r="A2" s="4" t="s">
        <v>71</v>
      </c>
      <c r="B2" s="5">
        <f>'Inputs-Separate'!B2</f>
        <v>0.8</v>
      </c>
      <c r="C2" s="3"/>
      <c r="D2" s="1"/>
      <c r="E2" s="10"/>
      <c r="F2" s="3" t="s">
        <v>42</v>
      </c>
      <c r="G2" s="14">
        <f>(B18*B13)/B21</f>
        <v>4800</v>
      </c>
      <c r="H2" s="3" t="s">
        <v>50</v>
      </c>
    </row>
    <row r="3" spans="1:8" ht="15">
      <c r="A3" s="3" t="s">
        <v>17</v>
      </c>
      <c r="B3" s="3">
        <f>'Inputs-Separate'!B3</f>
        <v>1</v>
      </c>
      <c r="C3" s="3"/>
      <c r="D3" s="16"/>
      <c r="F3" s="4" t="s">
        <v>23</v>
      </c>
      <c r="G3" s="14">
        <f>(B17*B18*B13)/B21</f>
        <v>19200</v>
      </c>
      <c r="H3" s="3" t="str">
        <f>C17</f>
        <v>Annually</v>
      </c>
    </row>
    <row r="4" spans="1:8" ht="15">
      <c r="A4" s="3" t="s">
        <v>62</v>
      </c>
      <c r="B4" s="3">
        <f>'Inputs-Separate'!B4</f>
        <v>10</v>
      </c>
      <c r="C4" s="3"/>
      <c r="D4" s="1"/>
      <c r="F4" s="4" t="s">
        <v>90</v>
      </c>
      <c r="G4" s="14">
        <f>(G3*B6)/B4</f>
        <v>1920</v>
      </c>
      <c r="H4" s="3" t="str">
        <f>C17</f>
        <v>Annually</v>
      </c>
    </row>
    <row r="5" spans="1:8" ht="15">
      <c r="A5" s="3" t="s">
        <v>63</v>
      </c>
      <c r="B5" s="3">
        <f>'Inputs-Separate'!B5</f>
        <v>5.5</v>
      </c>
      <c r="C5" s="3"/>
      <c r="F5" s="4" t="s">
        <v>91</v>
      </c>
      <c r="G5" s="14">
        <f>IF(B7&gt;0,(G3*B9)/B7,0)</f>
        <v>0</v>
      </c>
      <c r="H5" s="3" t="str">
        <f>C17</f>
        <v>Annually</v>
      </c>
    </row>
    <row r="6" spans="1:8" ht="15">
      <c r="A6" s="3" t="s">
        <v>68</v>
      </c>
      <c r="B6" s="5">
        <f>'Inputs-Separate'!B6</f>
        <v>1</v>
      </c>
      <c r="C6" s="3"/>
      <c r="F6" s="4" t="s">
        <v>92</v>
      </c>
      <c r="G6" s="14">
        <f>IF(B10&gt;0,(G3*B12)/B10,0)</f>
        <v>0</v>
      </c>
      <c r="H6" s="3" t="str">
        <f>C17</f>
        <v>Annually</v>
      </c>
    </row>
    <row r="7" spans="1:8" ht="15">
      <c r="A7" s="3" t="s">
        <v>64</v>
      </c>
      <c r="B7" s="3">
        <f>'Inputs-Separate'!B7</f>
        <v>0</v>
      </c>
      <c r="C7" s="3"/>
      <c r="F7" s="3" t="s">
        <v>80</v>
      </c>
      <c r="G7" s="14">
        <f>SUM(G4:G6)</f>
        <v>1920</v>
      </c>
      <c r="H7" s="3" t="str">
        <f>C17</f>
        <v>Annually</v>
      </c>
    </row>
    <row r="8" spans="1:8" ht="15">
      <c r="A8" s="3" t="s">
        <v>65</v>
      </c>
      <c r="B8" s="3">
        <f>'Inputs-Separate'!B8</f>
        <v>0</v>
      </c>
      <c r="C8" s="3"/>
      <c r="F8" s="3" t="s">
        <v>59</v>
      </c>
      <c r="G8" s="14">
        <f>(B24*B13)/B25</f>
        <v>1440</v>
      </c>
      <c r="H8" s="3" t="s">
        <v>60</v>
      </c>
    </row>
    <row r="9" spans="1:8" ht="15">
      <c r="A9" s="3" t="s">
        <v>69</v>
      </c>
      <c r="B9" s="5">
        <f>'Inputs-Separate'!B9</f>
        <v>0</v>
      </c>
      <c r="C9" s="3"/>
      <c r="F9" s="4" t="s">
        <v>61</v>
      </c>
      <c r="G9" s="23">
        <f>G2/G8</f>
        <v>3.3333333333333335</v>
      </c>
      <c r="H9" s="3"/>
    </row>
    <row r="10" spans="1:8" ht="15">
      <c r="A10" s="3" t="s">
        <v>66</v>
      </c>
      <c r="B10" s="3">
        <f>'Inputs-Separate'!B10</f>
        <v>0</v>
      </c>
      <c r="C10" s="3"/>
      <c r="F10" s="10"/>
      <c r="G10" s="29"/>
      <c r="H10" s="1"/>
    </row>
    <row r="11" spans="1:8" ht="15">
      <c r="A11" s="3" t="s">
        <v>67</v>
      </c>
      <c r="B11" s="3">
        <f>'Inputs-Separate'!B11</f>
        <v>0</v>
      </c>
      <c r="C11" s="3"/>
      <c r="F11" s="205" t="s">
        <v>48</v>
      </c>
      <c r="G11" s="206"/>
      <c r="H11" s="207"/>
    </row>
    <row r="12" spans="1:8" ht="15">
      <c r="A12" s="3" t="s">
        <v>70</v>
      </c>
      <c r="B12" s="5">
        <f>'Inputs-Separate'!B12</f>
        <v>0</v>
      </c>
      <c r="C12" s="3"/>
      <c r="F12" s="3" t="s">
        <v>49</v>
      </c>
      <c r="G12" s="23">
        <f>SUM(G13:G20)</f>
        <v>0.25654130260118513</v>
      </c>
      <c r="H12" s="3"/>
    </row>
    <row r="13" spans="1:8" ht="15">
      <c r="A13" s="3" t="s">
        <v>72</v>
      </c>
      <c r="B13" s="3">
        <f>'Inputs-Separate'!B13</f>
        <v>16</v>
      </c>
      <c r="C13" s="3"/>
      <c r="F13" s="4" t="str">
        <f>"     Cow cost per meatball"</f>
        <v xml:space="preserve">     Cow cost per meatball</v>
      </c>
      <c r="G13" s="23">
        <f>(B28*(B19/(B19+B20)))/G2</f>
        <v>0.11342874359746913</v>
      </c>
      <c r="H13" s="3" t="s">
        <v>51</v>
      </c>
    </row>
    <row r="14" spans="1:8" ht="15">
      <c r="A14" s="4" t="s">
        <v>110</v>
      </c>
      <c r="B14" s="4">
        <f>'Inputs-Separate'!B14</f>
        <v>0.05</v>
      </c>
      <c r="C14" s="3"/>
      <c r="F14" s="4" t="str">
        <f>"     Cow butcher cost per meatball"</f>
        <v xml:space="preserve">     Cow butcher cost per meatball</v>
      </c>
      <c r="G14" s="23">
        <f>(($B$29/($B$20+$B$19))*$B$19)/($G$2)</f>
        <v>0.04327922567038265</v>
      </c>
      <c r="H14" s="3" t="s">
        <v>51</v>
      </c>
    </row>
    <row r="15" spans="6:8" ht="15">
      <c r="F15" s="4" t="str">
        <f>"     Hog cost per meatball"</f>
        <v xml:space="preserve">     Hog cost per meatball</v>
      </c>
      <c r="G15" s="24">
        <f>(B30/B13)*B25</f>
        <v>0.04225</v>
      </c>
      <c r="H15" s="3" t="s">
        <v>51</v>
      </c>
    </row>
    <row r="16" spans="1:8" ht="15">
      <c r="A16" s="205" t="s">
        <v>54</v>
      </c>
      <c r="B16" s="206"/>
      <c r="C16" s="207"/>
      <c r="F16" s="4" t="str">
        <f>"     Cow transportation costs per meatball"</f>
        <v xml:space="preserve">     Cow transportation costs per meatball</v>
      </c>
      <c r="G16" s="24">
        <f>B31/G2</f>
        <v>0.025833333333333333</v>
      </c>
      <c r="H16" s="3" t="s">
        <v>51</v>
      </c>
    </row>
    <row r="17" spans="1:8" ht="15">
      <c r="A17" s="3" t="s">
        <v>106</v>
      </c>
      <c r="B17" s="3">
        <f>'Inputs-Separate'!B17</f>
        <v>4</v>
      </c>
      <c r="C17" s="3" t="s">
        <v>33</v>
      </c>
      <c r="F17" s="4" t="str">
        <f>"     Spice cost per meatball"</f>
        <v xml:space="preserve">     Spice cost per meatball</v>
      </c>
      <c r="G17" s="25">
        <f>(B32/C32/B13)*(B14)</f>
        <v>0.0125</v>
      </c>
      <c r="H17" s="3" t="s">
        <v>51</v>
      </c>
    </row>
    <row r="18" spans="1:8" ht="15">
      <c r="A18" s="3" t="s">
        <v>81</v>
      </c>
      <c r="B18" s="3">
        <f>'Inputs-Separate'!B18</f>
        <v>120</v>
      </c>
      <c r="C18" s="3"/>
      <c r="F18" s="4" t="str">
        <f>"     Meatball mash cost per meatball"</f>
        <v xml:space="preserve">     Meatball mash cost per meatball</v>
      </c>
      <c r="G18" s="25">
        <f>(B33/C33/B13)*B3</f>
        <v>0</v>
      </c>
      <c r="H18" s="3" t="s">
        <v>51</v>
      </c>
    </row>
    <row r="19" spans="1:8" ht="15">
      <c r="A19" s="3" t="s">
        <v>151</v>
      </c>
      <c r="B19" s="3">
        <f>'Inputs-Separate'!B19</f>
        <v>846</v>
      </c>
      <c r="C19" s="3"/>
      <c r="F19" s="4" t="str">
        <f>"     Other ingredients cost per meatball"</f>
        <v xml:space="preserve">     Other ingredients cost per meatball</v>
      </c>
      <c r="G19" s="28">
        <f>B35/C35</f>
        <v>0.01925</v>
      </c>
      <c r="H19" s="3" t="s">
        <v>51</v>
      </c>
    </row>
    <row r="20" spans="1:8" ht="15">
      <c r="A20" s="4" t="s">
        <v>77</v>
      </c>
      <c r="B20" s="3">
        <f>'Inputs-Separate'!B20</f>
        <v>2473</v>
      </c>
      <c r="C20" s="3"/>
      <c r="D20" s="26"/>
      <c r="F20" s="4" t="str">
        <f>"     Other cost per meatball"</f>
        <v xml:space="preserve">     Other cost per meatball</v>
      </c>
      <c r="G20" s="24">
        <f>B36/C36</f>
        <v>0</v>
      </c>
      <c r="H20" s="3" t="s">
        <v>51</v>
      </c>
    </row>
    <row r="21" spans="1:8" ht="15">
      <c r="A21" s="3" t="s">
        <v>16</v>
      </c>
      <c r="B21" s="3">
        <f>'Inputs-Separate'!B21</f>
        <v>0.4</v>
      </c>
      <c r="C21" s="3"/>
      <c r="F21" s="4" t="s">
        <v>82</v>
      </c>
      <c r="G21" s="23">
        <f>B34</f>
        <v>0.5</v>
      </c>
      <c r="H21" s="3" t="s">
        <v>114</v>
      </c>
    </row>
    <row r="22" spans="1:8" ht="15">
      <c r="A22" s="1"/>
      <c r="B22" s="1"/>
      <c r="C22" s="1"/>
      <c r="F22" s="3" t="s">
        <v>83</v>
      </c>
      <c r="G22" s="25">
        <f>(G12*B4)+G21</f>
        <v>3.0654130260118513</v>
      </c>
      <c r="H22" s="3" t="s">
        <v>114</v>
      </c>
    </row>
    <row r="23" spans="1:8" ht="15">
      <c r="A23" s="208" t="s">
        <v>53</v>
      </c>
      <c r="B23" s="208"/>
      <c r="C23" s="208"/>
      <c r="F23" s="3" t="s">
        <v>84</v>
      </c>
      <c r="G23" s="25">
        <f>(G12*B7)+G21</f>
        <v>0.5</v>
      </c>
      <c r="H23" s="3" t="s">
        <v>114</v>
      </c>
    </row>
    <row r="24" spans="1:8" ht="15">
      <c r="A24" s="21" t="s">
        <v>94</v>
      </c>
      <c r="B24" s="22">
        <f>'Inputs-Separate'!B24</f>
        <v>36</v>
      </c>
      <c r="C24" s="20"/>
      <c r="F24" s="3" t="s">
        <v>85</v>
      </c>
      <c r="G24" s="25">
        <f>(G12*B10)+G21</f>
        <v>0.5</v>
      </c>
      <c r="H24" s="3" t="s">
        <v>114</v>
      </c>
    </row>
    <row r="25" spans="1:8" ht="15">
      <c r="A25" s="3" t="s">
        <v>58</v>
      </c>
      <c r="B25" s="17">
        <f>'Inputs-Separate'!B27</f>
        <v>0.4</v>
      </c>
      <c r="C25" s="17"/>
      <c r="F25" s="3" t="s">
        <v>86</v>
      </c>
      <c r="G25" s="23">
        <f>B5-G22</f>
        <v>2.4345869739881487</v>
      </c>
      <c r="H25" s="3" t="s">
        <v>114</v>
      </c>
    </row>
    <row r="26" spans="1:8" ht="15">
      <c r="A26" s="1"/>
      <c r="B26" s="1"/>
      <c r="C26" s="1"/>
      <c r="F26" s="3" t="s">
        <v>87</v>
      </c>
      <c r="G26" s="23">
        <f>IF(B8&gt;0,B8-G23,0)</f>
        <v>0</v>
      </c>
      <c r="H26" s="3" t="s">
        <v>114</v>
      </c>
    </row>
    <row r="27" spans="1:8" ht="15">
      <c r="A27" s="205" t="s">
        <v>38</v>
      </c>
      <c r="B27" s="206"/>
      <c r="C27" s="207"/>
      <c r="F27" s="3" t="s">
        <v>88</v>
      </c>
      <c r="G27" s="23">
        <f>IF(B11&gt;0,B11-G24,0)</f>
        <v>0</v>
      </c>
      <c r="H27" s="3" t="s">
        <v>114</v>
      </c>
    </row>
    <row r="28" spans="1:8" ht="15">
      <c r="A28" s="4" t="s">
        <v>130</v>
      </c>
      <c r="B28" s="14">
        <f>'Inputs-Separate'!B30</f>
        <v>2136</v>
      </c>
      <c r="C28" s="3"/>
      <c r="F28" s="3" t="s">
        <v>28</v>
      </c>
      <c r="G28" s="31">
        <f>'Pro Forma Income-Meatballs'!B16*'Inputs-Buy Pork'!B42</f>
        <v>128</v>
      </c>
      <c r="H28" s="17" t="str">
        <f>H30</f>
        <v>Annually</v>
      </c>
    </row>
    <row r="29" spans="1:8" ht="15">
      <c r="A29" s="4" t="s">
        <v>89</v>
      </c>
      <c r="B29" s="14">
        <f>'Inputs-Separate'!B31</f>
        <v>815</v>
      </c>
      <c r="C29" s="3"/>
      <c r="F29" s="3" t="s">
        <v>55</v>
      </c>
      <c r="G29" s="24">
        <f>G9*B17</f>
        <v>13.333333333333334</v>
      </c>
      <c r="H29" s="3" t="str">
        <f>C17</f>
        <v>Annually</v>
      </c>
    </row>
    <row r="30" spans="1:8" ht="15">
      <c r="A30" s="4" t="s">
        <v>132</v>
      </c>
      <c r="B30" s="42">
        <v>1.69</v>
      </c>
      <c r="C30" s="18"/>
      <c r="F30" s="4" t="s">
        <v>116</v>
      </c>
      <c r="G30" s="30">
        <f>G3/B41</f>
        <v>64</v>
      </c>
      <c r="H30" s="3" t="str">
        <f>C17</f>
        <v>Annually</v>
      </c>
    </row>
    <row r="31" spans="1:3" ht="15">
      <c r="A31" s="4" t="s">
        <v>131</v>
      </c>
      <c r="B31" s="42">
        <v>124</v>
      </c>
      <c r="C31" s="18"/>
    </row>
    <row r="32" spans="1:8" ht="15">
      <c r="A32" s="4" t="s">
        <v>52</v>
      </c>
      <c r="B32" s="4">
        <f>'Inputs-Separate'!B36</f>
        <v>20</v>
      </c>
      <c r="C32" s="3">
        <f>'Inputs-Separate'!C36</f>
        <v>5</v>
      </c>
      <c r="D32" t="s">
        <v>169</v>
      </c>
      <c r="F32" s="205" t="s">
        <v>120</v>
      </c>
      <c r="G32" s="206"/>
      <c r="H32" s="207"/>
    </row>
    <row r="33" spans="1:8" ht="15">
      <c r="A33" s="4" t="s">
        <v>73</v>
      </c>
      <c r="B33" s="4">
        <f>'Inputs-Separate'!B37</f>
        <v>0</v>
      </c>
      <c r="C33" s="3">
        <f>'Inputs-Separate'!C37</f>
        <v>5</v>
      </c>
      <c r="D33" s="19" t="s">
        <v>169</v>
      </c>
      <c r="F33" s="3" t="s">
        <v>121</v>
      </c>
      <c r="G33" s="23">
        <f>(G25*B6)+(G26*B9)+(G27*B12)</f>
        <v>2.4345869739881487</v>
      </c>
      <c r="H33" s="3"/>
    </row>
    <row r="34" spans="1:8" ht="15">
      <c r="A34" s="4" t="s">
        <v>56</v>
      </c>
      <c r="B34" s="4">
        <f>'Inputs-Separate'!B38</f>
        <v>0.5</v>
      </c>
      <c r="C34" s="3">
        <f>'Inputs-Separate'!C38</f>
        <v>0</v>
      </c>
      <c r="F34" s="3" t="s">
        <v>123</v>
      </c>
      <c r="G34" s="3">
        <f>(B5*B6)+(B8*B9)+(B11*B12)</f>
        <v>5.5</v>
      </c>
      <c r="H34" s="3"/>
    </row>
    <row r="35" spans="1:8" ht="15">
      <c r="A35" s="4" t="s">
        <v>168</v>
      </c>
      <c r="B35" s="4">
        <f>'Inputs-Separate'!B39</f>
        <v>1.54</v>
      </c>
      <c r="C35" s="3">
        <f>'Inputs-Separate'!C39</f>
        <v>80</v>
      </c>
      <c r="D35" t="s">
        <v>76</v>
      </c>
      <c r="F35" s="3" t="s">
        <v>122</v>
      </c>
      <c r="G35" s="3">
        <f>(B4*B6)+(B7*B9)+(B10*B12)</f>
        <v>10</v>
      </c>
      <c r="H35" s="3"/>
    </row>
    <row r="36" spans="1:4" ht="15">
      <c r="A36" s="4" t="s">
        <v>75</v>
      </c>
      <c r="B36" s="4">
        <f>'Inputs-Separate'!B40</f>
        <v>0</v>
      </c>
      <c r="C36" s="3">
        <f>'Inputs-Separate'!C40</f>
        <v>80</v>
      </c>
      <c r="D36" t="s">
        <v>76</v>
      </c>
    </row>
    <row r="37" spans="1:2" ht="15">
      <c r="A37" s="1"/>
      <c r="B37" s="1"/>
    </row>
    <row r="38" spans="1:3" ht="15">
      <c r="A38" s="210" t="s">
        <v>19</v>
      </c>
      <c r="B38" s="211"/>
      <c r="C38" s="212"/>
    </row>
    <row r="39" spans="1:3" ht="15">
      <c r="A39" s="4" t="s">
        <v>20</v>
      </c>
      <c r="B39" s="3">
        <f>'Inputs-Separate'!B43</f>
        <v>2</v>
      </c>
      <c r="C39" s="3"/>
    </row>
    <row r="40" spans="1:3" ht="15">
      <c r="A40" s="4" t="s">
        <v>37</v>
      </c>
      <c r="B40" s="3">
        <f>'Inputs-Separate'!B44</f>
        <v>10</v>
      </c>
      <c r="C40" s="3"/>
    </row>
    <row r="41" spans="1:3" ht="15">
      <c r="A41" s="4" t="s">
        <v>167</v>
      </c>
      <c r="B41" s="3">
        <f>'Inputs-Separate'!B45</f>
        <v>300</v>
      </c>
      <c r="C41" s="3"/>
    </row>
    <row r="42" spans="1:3" ht="15">
      <c r="A42" s="4" t="s">
        <v>101</v>
      </c>
      <c r="B42" s="5">
        <f>'Inputs-Separate'!B46</f>
        <v>0.1</v>
      </c>
      <c r="C42" s="3"/>
    </row>
    <row r="43" spans="1:5" ht="15">
      <c r="A43" s="4" t="s">
        <v>35</v>
      </c>
      <c r="B43" s="41">
        <f>'Inputs-Separate'!B47</f>
        <v>200</v>
      </c>
      <c r="C43" s="3" t="s">
        <v>33</v>
      </c>
      <c r="D43" s="15" t="s">
        <v>34</v>
      </c>
      <c r="E43" s="10"/>
    </row>
    <row r="44" spans="1:5" ht="15">
      <c r="A44" s="4" t="s">
        <v>118</v>
      </c>
      <c r="B44" s="41">
        <f>'Inputs-Separate'!B48</f>
        <v>0</v>
      </c>
      <c r="C44" s="3" t="s">
        <v>33</v>
      </c>
      <c r="D44" s="15" t="s">
        <v>34</v>
      </c>
      <c r="E44" s="10"/>
    </row>
    <row r="45" spans="1:5" ht="15">
      <c r="A45" s="4" t="s">
        <v>119</v>
      </c>
      <c r="B45" s="41">
        <f>'Inputs-Separate'!B49</f>
        <v>500</v>
      </c>
      <c r="C45" s="3" t="s">
        <v>33</v>
      </c>
      <c r="D45" s="15" t="s">
        <v>34</v>
      </c>
      <c r="E45" s="10"/>
    </row>
    <row r="46" spans="1:5" ht="15">
      <c r="A46" s="4" t="s">
        <v>36</v>
      </c>
      <c r="B46" s="35">
        <f>'Inputs-Separate'!B50</f>
        <v>0</v>
      </c>
      <c r="C46" s="3" t="s">
        <v>32</v>
      </c>
      <c r="D46" s="15" t="s">
        <v>34</v>
      </c>
      <c r="E46" s="10"/>
    </row>
    <row r="48" spans="1:3" ht="15">
      <c r="A48" s="210" t="s">
        <v>24</v>
      </c>
      <c r="B48" s="211"/>
      <c r="C48" s="212"/>
    </row>
    <row r="49" spans="1:5" ht="15">
      <c r="A49" s="3" t="s">
        <v>27</v>
      </c>
      <c r="B49" s="35">
        <f>'Inputs-Separate'!B53</f>
        <v>0</v>
      </c>
      <c r="C49" s="3" t="s">
        <v>33</v>
      </c>
      <c r="D49" s="15" t="s">
        <v>34</v>
      </c>
      <c r="E49" s="10"/>
    </row>
    <row r="50" spans="1:5" ht="15">
      <c r="A50" s="3" t="s">
        <v>25</v>
      </c>
      <c r="B50" s="35">
        <f>'Inputs-Separate'!B54</f>
        <v>0</v>
      </c>
      <c r="C50" s="3" t="s">
        <v>33</v>
      </c>
      <c r="D50" s="15" t="s">
        <v>34</v>
      </c>
      <c r="E50" s="10"/>
    </row>
    <row r="51" spans="1:7" ht="15">
      <c r="A51" s="3" t="s">
        <v>26</v>
      </c>
      <c r="B51" s="41">
        <f>'Inputs-Separate'!B55</f>
        <v>500</v>
      </c>
      <c r="C51" s="3" t="s">
        <v>33</v>
      </c>
      <c r="D51" s="15" t="s">
        <v>34</v>
      </c>
      <c r="E51" s="10"/>
      <c r="G51" s="11"/>
    </row>
    <row r="52" spans="1:5" ht="15">
      <c r="A52" s="3" t="s">
        <v>145</v>
      </c>
      <c r="B52" s="41">
        <f>'Inputs-Separate'!B56</f>
        <v>0</v>
      </c>
      <c r="C52" s="3" t="s">
        <v>33</v>
      </c>
      <c r="D52" s="15" t="s">
        <v>34</v>
      </c>
      <c r="E52" s="10"/>
    </row>
    <row r="54" spans="1:3" ht="15">
      <c r="A54" s="209" t="s">
        <v>29</v>
      </c>
      <c r="B54" s="209"/>
      <c r="C54" s="209"/>
    </row>
    <row r="55" spans="1:3" ht="15">
      <c r="A55" s="3" t="s">
        <v>21</v>
      </c>
      <c r="B55" s="5">
        <f>'Inputs-Separate'!B59</f>
        <v>0</v>
      </c>
      <c r="C55" s="3"/>
    </row>
    <row r="56" spans="1:3" ht="15">
      <c r="A56" s="3" t="s">
        <v>22</v>
      </c>
      <c r="B56" s="35">
        <f>'Inputs-Separate'!B60</f>
        <v>0</v>
      </c>
      <c r="C56" s="3"/>
    </row>
    <row r="57" spans="1:3" ht="15">
      <c r="A57" s="4" t="s">
        <v>146</v>
      </c>
      <c r="B57" s="68">
        <v>0.3</v>
      </c>
      <c r="C57" s="3"/>
    </row>
    <row r="64" ht="15">
      <c r="E64" s="12"/>
    </row>
  </sheetData>
  <mergeCells count="10">
    <mergeCell ref="F32:H32"/>
    <mergeCell ref="A38:C38"/>
    <mergeCell ref="A48:C48"/>
    <mergeCell ref="A54:C54"/>
    <mergeCell ref="A1:C1"/>
    <mergeCell ref="F1:H1"/>
    <mergeCell ref="F11:H11"/>
    <mergeCell ref="A16:C16"/>
    <mergeCell ref="A23:C23"/>
    <mergeCell ref="A27:C27"/>
  </mergeCells>
  <dataValidations count="2">
    <dataValidation type="list" showInputMessage="1" showErrorMessage="1" promptTitle="Frequency" sqref="C49:C52 C43:C44 C46">
      <formula1>Frequency</formula1>
    </dataValidation>
    <dataValidation type="list" showInputMessage="1" showErrorMessage="1" promptTitle="Frequency" sqref="C45">
      <formula1>'frequency dropdown options'!$A$6:$A$7</formula1>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topLeftCell="A1">
      <selection activeCell="B2" sqref="B2"/>
    </sheetView>
  </sheetViews>
  <sheetFormatPr defaultColWidth="8.8515625" defaultRowHeight="15"/>
  <cols>
    <col min="1" max="1" width="76.421875" style="0" bestFit="1" customWidth="1"/>
    <col min="2" max="2" width="9.421875" style="0" bestFit="1" customWidth="1"/>
    <col min="3" max="3" width="13.421875" style="0" customWidth="1"/>
    <col min="4" max="4" width="12.00390625" style="0" bestFit="1" customWidth="1"/>
    <col min="6" max="6" width="46.8515625" style="0" customWidth="1"/>
    <col min="7" max="7" width="11.421875" style="0" bestFit="1" customWidth="1"/>
    <col min="8" max="8" width="12.140625" style="0" bestFit="1" customWidth="1"/>
  </cols>
  <sheetData>
    <row r="1" spans="1:8" ht="15">
      <c r="A1" s="205" t="s">
        <v>18</v>
      </c>
      <c r="B1" s="206"/>
      <c r="C1" s="207"/>
      <c r="D1" s="16"/>
      <c r="F1" s="205" t="s">
        <v>57</v>
      </c>
      <c r="G1" s="206"/>
      <c r="H1" s="207"/>
    </row>
    <row r="2" spans="1:8" ht="15">
      <c r="A2" s="4" t="s">
        <v>71</v>
      </c>
      <c r="B2" s="5">
        <f>'Inputs-Separate'!B2</f>
        <v>0.8</v>
      </c>
      <c r="C2" s="3"/>
      <c r="D2" s="1"/>
      <c r="E2" s="10"/>
      <c r="F2" s="3" t="s">
        <v>59</v>
      </c>
      <c r="G2" s="14">
        <f>(B18*B13)/B21</f>
        <v>1440</v>
      </c>
      <c r="H2" s="3" t="s">
        <v>60</v>
      </c>
    </row>
    <row r="3" spans="1:8" ht="15">
      <c r="A3" s="3" t="s">
        <v>17</v>
      </c>
      <c r="B3" s="3">
        <f>'Inputs-Separate'!B3</f>
        <v>1</v>
      </c>
      <c r="C3" s="3"/>
      <c r="D3" s="16"/>
      <c r="F3" s="4" t="s">
        <v>23</v>
      </c>
      <c r="G3" s="14">
        <f>(B17*B18*B13)/B21</f>
        <v>19199.951999999997</v>
      </c>
      <c r="H3" s="3" t="str">
        <f>C17</f>
        <v>Annually</v>
      </c>
    </row>
    <row r="4" spans="1:8" ht="15">
      <c r="A4" s="3" t="s">
        <v>62</v>
      </c>
      <c r="B4" s="3">
        <f>'Inputs-Separate'!B4</f>
        <v>10</v>
      </c>
      <c r="C4" s="3"/>
      <c r="D4" s="1"/>
      <c r="F4" s="4" t="s">
        <v>90</v>
      </c>
      <c r="G4" s="14">
        <f>(G3*B6)/B4</f>
        <v>1919.9951999999998</v>
      </c>
      <c r="H4" s="3" t="str">
        <f>C17</f>
        <v>Annually</v>
      </c>
    </row>
    <row r="5" spans="1:8" ht="15">
      <c r="A5" s="3" t="s">
        <v>63</v>
      </c>
      <c r="B5" s="3">
        <f>'Inputs-Separate'!B5</f>
        <v>5.5</v>
      </c>
      <c r="C5" s="3"/>
      <c r="F5" s="4" t="s">
        <v>91</v>
      </c>
      <c r="G5" s="14">
        <f>IF(B7&gt;0,(G3*B9)/B7,0)</f>
        <v>0</v>
      </c>
      <c r="H5" s="3" t="str">
        <f>C17</f>
        <v>Annually</v>
      </c>
    </row>
    <row r="6" spans="1:8" ht="15">
      <c r="A6" s="3" t="s">
        <v>68</v>
      </c>
      <c r="B6" s="5">
        <f>'Inputs-Separate'!B6</f>
        <v>1</v>
      </c>
      <c r="C6" s="3"/>
      <c r="F6" s="4" t="s">
        <v>92</v>
      </c>
      <c r="G6" s="14">
        <f>IF(B10&gt;0,(G3*B12)/B10,0)</f>
        <v>0</v>
      </c>
      <c r="H6" s="3" t="str">
        <f>C17</f>
        <v>Annually</v>
      </c>
    </row>
    <row r="7" spans="1:8" ht="15">
      <c r="A7" s="3" t="s">
        <v>64</v>
      </c>
      <c r="B7" s="3">
        <f>'Inputs-Separate'!B7</f>
        <v>0</v>
      </c>
      <c r="C7" s="3"/>
      <c r="F7" s="3" t="s">
        <v>80</v>
      </c>
      <c r="G7" s="14">
        <f>SUM(G4:G6)</f>
        <v>1919.9951999999998</v>
      </c>
      <c r="H7" s="3" t="str">
        <f>C17</f>
        <v>Annually</v>
      </c>
    </row>
    <row r="8" spans="1:9" ht="15">
      <c r="A8" s="3" t="s">
        <v>65</v>
      </c>
      <c r="B8" s="3">
        <f>'Inputs-Separate'!B8</f>
        <v>0</v>
      </c>
      <c r="C8" s="3"/>
      <c r="F8" s="3" t="s">
        <v>42</v>
      </c>
      <c r="G8" s="14">
        <f>(B24*B13)/B25</f>
        <v>4800</v>
      </c>
      <c r="H8" s="3" t="s">
        <v>50</v>
      </c>
      <c r="I8" s="122"/>
    </row>
    <row r="9" spans="1:8" ht="15">
      <c r="A9" s="3" t="s">
        <v>69</v>
      </c>
      <c r="B9" s="5">
        <f>'Inputs-Separate'!B9</f>
        <v>0</v>
      </c>
      <c r="C9" s="3"/>
      <c r="F9" s="4" t="s">
        <v>176</v>
      </c>
      <c r="G9" s="23">
        <f>G2/G8</f>
        <v>0.3</v>
      </c>
      <c r="H9" s="3"/>
    </row>
    <row r="10" spans="1:8" ht="15">
      <c r="A10" s="3" t="s">
        <v>66</v>
      </c>
      <c r="B10" s="3">
        <f>'Inputs-Separate'!B10</f>
        <v>0</v>
      </c>
      <c r="C10" s="3"/>
      <c r="F10" s="10"/>
      <c r="G10" s="29"/>
      <c r="H10" s="1"/>
    </row>
    <row r="11" spans="1:8" ht="15">
      <c r="A11" s="3" t="s">
        <v>67</v>
      </c>
      <c r="B11" s="3">
        <f>'Inputs-Separate'!B11</f>
        <v>0</v>
      </c>
      <c r="C11" s="3"/>
      <c r="F11" s="205" t="s">
        <v>48</v>
      </c>
      <c r="G11" s="206"/>
      <c r="H11" s="207"/>
    </row>
    <row r="12" spans="1:8" ht="15">
      <c r="A12" s="3" t="s">
        <v>70</v>
      </c>
      <c r="B12" s="5">
        <f>'Inputs-Separate'!B12</f>
        <v>0</v>
      </c>
      <c r="C12" s="3"/>
      <c r="F12" s="3" t="s">
        <v>49</v>
      </c>
      <c r="G12" s="23">
        <f>SUM(G13:G20)</f>
        <v>0.1671900145924536</v>
      </c>
      <c r="H12" s="3"/>
    </row>
    <row r="13" spans="1:8" ht="15">
      <c r="A13" s="3" t="s">
        <v>72</v>
      </c>
      <c r="B13" s="3">
        <f>'Inputs-Separate'!B13</f>
        <v>16</v>
      </c>
      <c r="C13" s="3"/>
      <c r="F13" s="4" t="str">
        <f>"     Hog cost per meatball"</f>
        <v xml:space="preserve">     Hog cost per meatball</v>
      </c>
      <c r="G13" s="23">
        <f>(B28*(B19/(B19+B20)))/G2</f>
        <v>0.03557562017927871</v>
      </c>
      <c r="H13" s="3" t="s">
        <v>51</v>
      </c>
    </row>
    <row r="14" spans="1:8" ht="15">
      <c r="A14" s="4" t="s">
        <v>110</v>
      </c>
      <c r="B14" s="4">
        <f>'Inputs-Separate'!B14</f>
        <v>0.05</v>
      </c>
      <c r="C14" s="3"/>
      <c r="F14" s="4" t="str">
        <f>"     Hog butcher cost per meatball"</f>
        <v xml:space="preserve">     Hog butcher cost per meatball</v>
      </c>
      <c r="G14" s="23">
        <f>(($B$29/($B$20+$B$19))*$B$19)/($G$2)</f>
        <v>0.03025328330206379</v>
      </c>
      <c r="H14" s="3" t="s">
        <v>51</v>
      </c>
    </row>
    <row r="15" spans="6:8" ht="15">
      <c r="F15" s="4" t="str">
        <f>"     Cow cost per meatball"</f>
        <v xml:space="preserve">     Cow cost per meatball</v>
      </c>
      <c r="G15" s="24">
        <f>(B30/B13)*B25</f>
        <v>0.04225</v>
      </c>
      <c r="H15" s="3" t="s">
        <v>51</v>
      </c>
    </row>
    <row r="16" spans="1:8" ht="15">
      <c r="A16" s="205" t="s">
        <v>53</v>
      </c>
      <c r="B16" s="206"/>
      <c r="C16" s="207"/>
      <c r="F16" s="4" t="str">
        <f>"     Hog transportation costs per meatball"</f>
        <v xml:space="preserve">     Hog transportation costs per meatball</v>
      </c>
      <c r="G16" s="24">
        <f>B31/B37/G2</f>
        <v>0.02736111111111111</v>
      </c>
      <c r="H16" s="3" t="s">
        <v>51</v>
      </c>
    </row>
    <row r="17" spans="1:8" ht="15">
      <c r="A17" s="3" t="s">
        <v>170</v>
      </c>
      <c r="B17" s="3">
        <v>13.3333</v>
      </c>
      <c r="C17" s="3" t="s">
        <v>33</v>
      </c>
      <c r="F17" s="4" t="str">
        <f>"     Spice cost per meatball"</f>
        <v xml:space="preserve">     Spice cost per meatball</v>
      </c>
      <c r="G17" s="25">
        <f>(B32/C32/B13)*(B14)</f>
        <v>0.0125</v>
      </c>
      <c r="H17" s="3" t="s">
        <v>51</v>
      </c>
    </row>
    <row r="18" spans="1:8" ht="15">
      <c r="A18" s="3" t="s">
        <v>94</v>
      </c>
      <c r="B18" s="3">
        <v>36</v>
      </c>
      <c r="C18" s="3"/>
      <c r="F18" s="4" t="str">
        <f>"     Meatball mash cost per meatball"</f>
        <v xml:space="preserve">     Meatball mash cost per meatball</v>
      </c>
      <c r="G18" s="25">
        <f>(B33/C33/B13)*B3</f>
        <v>0</v>
      </c>
      <c r="H18" s="3" t="s">
        <v>51</v>
      </c>
    </row>
    <row r="19" spans="1:8" ht="15">
      <c r="A19" s="3" t="s">
        <v>171</v>
      </c>
      <c r="B19" s="3">
        <v>215</v>
      </c>
      <c r="C19" s="3"/>
      <c r="F19" s="4" t="str">
        <f>"     Other ingredients cost per meatball"</f>
        <v xml:space="preserve">     Other ingredients cost per meatball</v>
      </c>
      <c r="G19" s="28">
        <f>B35/C35</f>
        <v>0.01925</v>
      </c>
      <c r="H19" s="3" t="s">
        <v>51</v>
      </c>
    </row>
    <row r="20" spans="1:8" ht="15">
      <c r="A20" s="4" t="s">
        <v>79</v>
      </c>
      <c r="B20" s="3">
        <v>851</v>
      </c>
      <c r="C20" s="3"/>
      <c r="D20" s="26"/>
      <c r="F20" s="4" t="str">
        <f>"     Other cost per meatball"</f>
        <v xml:space="preserve">     Other cost per meatball</v>
      </c>
      <c r="G20" s="24">
        <f>B36/C36</f>
        <v>0</v>
      </c>
      <c r="H20" s="3" t="s">
        <v>51</v>
      </c>
    </row>
    <row r="21" spans="1:8" ht="15">
      <c r="A21" s="3" t="s">
        <v>172</v>
      </c>
      <c r="B21" s="3">
        <f>'Inputs-Separate'!B21</f>
        <v>0.4</v>
      </c>
      <c r="C21" s="3"/>
      <c r="F21" s="4" t="s">
        <v>82</v>
      </c>
      <c r="G21" s="23">
        <f>B34</f>
        <v>0.5</v>
      </c>
      <c r="H21" s="3" t="s">
        <v>114</v>
      </c>
    </row>
    <row r="22" spans="1:8" ht="15">
      <c r="A22" s="1"/>
      <c r="B22" s="1"/>
      <c r="C22" s="1"/>
      <c r="F22" s="3" t="s">
        <v>83</v>
      </c>
      <c r="G22" s="25">
        <f>(G12*B4)+G21</f>
        <v>2.1719001459245364</v>
      </c>
      <c r="H22" s="3" t="s">
        <v>114</v>
      </c>
    </row>
    <row r="23" spans="1:8" ht="15">
      <c r="A23" s="208" t="s">
        <v>54</v>
      </c>
      <c r="B23" s="208"/>
      <c r="C23" s="208"/>
      <c r="F23" s="3" t="s">
        <v>84</v>
      </c>
      <c r="G23" s="25">
        <f>(G12*B7)+G21</f>
        <v>0.5</v>
      </c>
      <c r="H23" s="3" t="s">
        <v>114</v>
      </c>
    </row>
    <row r="24" spans="1:8" ht="15">
      <c r="A24" s="21" t="s">
        <v>173</v>
      </c>
      <c r="B24" s="22">
        <v>120</v>
      </c>
      <c r="C24" s="20"/>
      <c r="F24" s="3" t="s">
        <v>85</v>
      </c>
      <c r="G24" s="25">
        <f>(G12*B10)+G21</f>
        <v>0.5</v>
      </c>
      <c r="H24" s="3" t="s">
        <v>114</v>
      </c>
    </row>
    <row r="25" spans="1:8" ht="15">
      <c r="A25" s="3" t="s">
        <v>174</v>
      </c>
      <c r="B25" s="17">
        <f>'Inputs-Separate'!B27</f>
        <v>0.4</v>
      </c>
      <c r="C25" s="17"/>
      <c r="F25" s="3" t="s">
        <v>86</v>
      </c>
      <c r="G25" s="23">
        <f>B5-G22</f>
        <v>3.3280998540754636</v>
      </c>
      <c r="H25" s="3" t="s">
        <v>114</v>
      </c>
    </row>
    <row r="26" spans="1:8" ht="15">
      <c r="A26" s="1"/>
      <c r="B26" s="1"/>
      <c r="C26" s="1"/>
      <c r="F26" s="3" t="s">
        <v>87</v>
      </c>
      <c r="G26" s="23">
        <f>IF(B8&gt;0,B8-G23,0)</f>
        <v>0</v>
      </c>
      <c r="H26" s="3" t="s">
        <v>114</v>
      </c>
    </row>
    <row r="27" spans="1:8" ht="15">
      <c r="A27" s="205" t="s">
        <v>38</v>
      </c>
      <c r="B27" s="206"/>
      <c r="C27" s="207"/>
      <c r="F27" s="3" t="s">
        <v>88</v>
      </c>
      <c r="G27" s="23">
        <f>IF(B11&gt;0,B11-G24,0)</f>
        <v>0</v>
      </c>
      <c r="H27" s="3" t="s">
        <v>114</v>
      </c>
    </row>
    <row r="28" spans="1:8" ht="15">
      <c r="A28" s="4" t="s">
        <v>129</v>
      </c>
      <c r="B28" s="14">
        <v>254</v>
      </c>
      <c r="C28" s="3"/>
      <c r="F28" s="3" t="s">
        <v>28</v>
      </c>
      <c r="G28" s="31">
        <f>'Pro Forma Income-Meatballs'!B16*'Inputs-Buy Beef'!B43</f>
        <v>128</v>
      </c>
      <c r="H28" s="17" t="str">
        <f>H30</f>
        <v>Annually</v>
      </c>
    </row>
    <row r="29" spans="1:8" ht="15">
      <c r="A29" s="4" t="s">
        <v>107</v>
      </c>
      <c r="B29" s="14">
        <f>36+158+22</f>
        <v>216</v>
      </c>
      <c r="C29" s="3"/>
      <c r="F29" s="3" t="s">
        <v>177</v>
      </c>
      <c r="G29" s="24">
        <f>G9*B17</f>
        <v>3.9999899999999995</v>
      </c>
      <c r="H29" s="3" t="str">
        <f>C17</f>
        <v>Annually</v>
      </c>
    </row>
    <row r="30" spans="1:8" ht="15">
      <c r="A30" s="4" t="s">
        <v>175</v>
      </c>
      <c r="B30" s="42">
        <v>1.69</v>
      </c>
      <c r="C30" s="18"/>
      <c r="F30" s="4" t="s">
        <v>116</v>
      </c>
      <c r="G30" s="30">
        <f>G3/B42</f>
        <v>63.99983999999999</v>
      </c>
      <c r="H30" s="3" t="str">
        <f>C17</f>
        <v>Annually</v>
      </c>
    </row>
    <row r="31" spans="1:3" ht="15">
      <c r="A31" s="4" t="s">
        <v>131</v>
      </c>
      <c r="B31" s="42">
        <v>197</v>
      </c>
      <c r="C31" s="18"/>
    </row>
    <row r="32" spans="1:8" ht="15">
      <c r="A32" s="4" t="s">
        <v>52</v>
      </c>
      <c r="B32" s="4">
        <f>'Inputs-Separate'!B36</f>
        <v>20</v>
      </c>
      <c r="C32" s="3">
        <f>'Inputs-Separate'!C36</f>
        <v>5</v>
      </c>
      <c r="D32" t="s">
        <v>169</v>
      </c>
      <c r="F32" s="205" t="s">
        <v>120</v>
      </c>
      <c r="G32" s="206"/>
      <c r="H32" s="207"/>
    </row>
    <row r="33" spans="1:8" ht="15">
      <c r="A33" s="4" t="s">
        <v>73</v>
      </c>
      <c r="B33" s="4">
        <f>'Inputs-Separate'!B37</f>
        <v>0</v>
      </c>
      <c r="C33" s="3">
        <f>'Inputs-Separate'!C37</f>
        <v>5</v>
      </c>
      <c r="D33" s="19" t="s">
        <v>169</v>
      </c>
      <c r="F33" s="3" t="s">
        <v>121</v>
      </c>
      <c r="G33" s="23">
        <f>(G25*B6)+(G26*B9)+(G27*B12)</f>
        <v>3.3280998540754636</v>
      </c>
      <c r="H33" s="3"/>
    </row>
    <row r="34" spans="1:8" ht="15">
      <c r="A34" s="4" t="s">
        <v>56</v>
      </c>
      <c r="B34" s="4">
        <f>'Inputs-Separate'!B38</f>
        <v>0.5</v>
      </c>
      <c r="C34" s="3">
        <f>'Inputs-Separate'!C38</f>
        <v>0</v>
      </c>
      <c r="F34" s="3" t="s">
        <v>123</v>
      </c>
      <c r="G34" s="3">
        <f>(B5*B6)+(B8*B9)+(B11*B12)</f>
        <v>5.5</v>
      </c>
      <c r="H34" s="3"/>
    </row>
    <row r="35" spans="1:8" ht="15">
      <c r="A35" s="4" t="s">
        <v>168</v>
      </c>
      <c r="B35" s="4">
        <f>'Inputs-Separate'!B39</f>
        <v>1.54</v>
      </c>
      <c r="C35" s="3">
        <f>'Inputs-Separate'!C39</f>
        <v>80</v>
      </c>
      <c r="D35" t="s">
        <v>76</v>
      </c>
      <c r="F35" s="3" t="s">
        <v>122</v>
      </c>
      <c r="G35" s="3">
        <f>(B4*B6)+(B7*B9)+(B10*B12)</f>
        <v>10</v>
      </c>
      <c r="H35" s="3"/>
    </row>
    <row r="36" spans="1:4" ht="15">
      <c r="A36" s="4" t="s">
        <v>75</v>
      </c>
      <c r="B36" s="4">
        <f>'Inputs-Separate'!B40</f>
        <v>0</v>
      </c>
      <c r="C36" s="3">
        <f>'Inputs-Separate'!C40</f>
        <v>80</v>
      </c>
      <c r="D36" t="s">
        <v>76</v>
      </c>
    </row>
    <row r="37" spans="1:3" ht="15">
      <c r="A37" s="4" t="s">
        <v>179</v>
      </c>
      <c r="B37" s="175">
        <v>5</v>
      </c>
      <c r="C37" s="3"/>
    </row>
    <row r="38" spans="1:2" ht="15">
      <c r="A38" s="1"/>
      <c r="B38" s="1"/>
    </row>
    <row r="39" spans="1:3" ht="15">
      <c r="A39" s="210" t="s">
        <v>19</v>
      </c>
      <c r="B39" s="211"/>
      <c r="C39" s="212"/>
    </row>
    <row r="40" spans="1:3" ht="15">
      <c r="A40" s="4" t="s">
        <v>20</v>
      </c>
      <c r="B40" s="3">
        <f>'Inputs-Separate'!B43</f>
        <v>2</v>
      </c>
      <c r="C40" s="3"/>
    </row>
    <row r="41" spans="1:3" ht="15">
      <c r="A41" s="4" t="s">
        <v>37</v>
      </c>
      <c r="B41" s="3">
        <f>'Inputs-Separate'!B44</f>
        <v>10</v>
      </c>
      <c r="C41" s="3"/>
    </row>
    <row r="42" spans="1:3" ht="15">
      <c r="A42" s="4" t="s">
        <v>181</v>
      </c>
      <c r="B42" s="3">
        <f>'Inputs-Separate'!B45</f>
        <v>300</v>
      </c>
      <c r="C42" s="3"/>
    </row>
    <row r="43" spans="1:3" ht="15">
      <c r="A43" s="4" t="s">
        <v>101</v>
      </c>
      <c r="B43" s="5">
        <f>'Inputs-Separate'!B46</f>
        <v>0.1</v>
      </c>
      <c r="C43" s="3"/>
    </row>
    <row r="44" spans="1:5" ht="15">
      <c r="A44" s="4" t="s">
        <v>35</v>
      </c>
      <c r="B44" s="41">
        <f>'Inputs-Separate'!B47</f>
        <v>200</v>
      </c>
      <c r="C44" s="3" t="s">
        <v>33</v>
      </c>
      <c r="D44" s="15" t="s">
        <v>34</v>
      </c>
      <c r="E44" s="10"/>
    </row>
    <row r="45" spans="1:5" ht="15">
      <c r="A45" s="4" t="s">
        <v>118</v>
      </c>
      <c r="B45" s="41">
        <f>'Inputs-Separate'!B48</f>
        <v>0</v>
      </c>
      <c r="C45" s="3" t="s">
        <v>33</v>
      </c>
      <c r="D45" s="15" t="s">
        <v>34</v>
      </c>
      <c r="E45" s="10"/>
    </row>
    <row r="46" spans="1:5" ht="15">
      <c r="A46" s="4" t="s">
        <v>119</v>
      </c>
      <c r="B46" s="41">
        <f>'Inputs-Separate'!B49</f>
        <v>500</v>
      </c>
      <c r="C46" s="3" t="s">
        <v>33</v>
      </c>
      <c r="D46" s="15" t="s">
        <v>34</v>
      </c>
      <c r="E46" s="10"/>
    </row>
    <row r="47" spans="1:5" ht="15">
      <c r="A47" s="4" t="s">
        <v>36</v>
      </c>
      <c r="B47" s="35">
        <f>'Inputs-Separate'!B50</f>
        <v>0</v>
      </c>
      <c r="C47" s="3" t="s">
        <v>32</v>
      </c>
      <c r="D47" s="15" t="s">
        <v>34</v>
      </c>
      <c r="E47" s="10"/>
    </row>
    <row r="49" spans="1:3" ht="15">
      <c r="A49" s="210" t="s">
        <v>24</v>
      </c>
      <c r="B49" s="211"/>
      <c r="C49" s="212"/>
    </row>
    <row r="50" spans="1:5" ht="15">
      <c r="A50" s="3" t="s">
        <v>27</v>
      </c>
      <c r="B50" s="35">
        <f>'Inputs-Separate'!B53</f>
        <v>0</v>
      </c>
      <c r="C50" s="3" t="s">
        <v>33</v>
      </c>
      <c r="D50" s="15" t="s">
        <v>34</v>
      </c>
      <c r="E50" s="10"/>
    </row>
    <row r="51" spans="1:5" ht="15">
      <c r="A51" s="3" t="s">
        <v>25</v>
      </c>
      <c r="B51" s="35">
        <f>'Inputs-Separate'!B54</f>
        <v>0</v>
      </c>
      <c r="C51" s="3" t="s">
        <v>33</v>
      </c>
      <c r="D51" s="15" t="s">
        <v>34</v>
      </c>
      <c r="E51" s="10"/>
    </row>
    <row r="52" spans="1:7" ht="15">
      <c r="A52" s="3" t="s">
        <v>26</v>
      </c>
      <c r="B52" s="41">
        <f>'Inputs-Separate'!B55</f>
        <v>500</v>
      </c>
      <c r="C52" s="3" t="s">
        <v>33</v>
      </c>
      <c r="D52" s="15" t="s">
        <v>34</v>
      </c>
      <c r="E52" s="10"/>
      <c r="G52" s="11"/>
    </row>
    <row r="53" spans="1:5" ht="15">
      <c r="A53" s="3" t="s">
        <v>145</v>
      </c>
      <c r="B53" s="41">
        <f>'Inputs-Separate'!B56</f>
        <v>0</v>
      </c>
      <c r="C53" s="3" t="s">
        <v>33</v>
      </c>
      <c r="D53" s="15" t="s">
        <v>34</v>
      </c>
      <c r="E53" s="10"/>
    </row>
    <row r="55" spans="1:3" ht="15">
      <c r="A55" s="209" t="s">
        <v>29</v>
      </c>
      <c r="B55" s="209"/>
      <c r="C55" s="209"/>
    </row>
    <row r="56" spans="1:3" ht="15">
      <c r="A56" s="3" t="s">
        <v>21</v>
      </c>
      <c r="B56" s="5">
        <f>'Inputs-Separate'!B59</f>
        <v>0</v>
      </c>
      <c r="C56" s="3"/>
    </row>
    <row r="57" spans="1:3" ht="15">
      <c r="A57" s="3" t="s">
        <v>22</v>
      </c>
      <c r="B57" s="35">
        <f>'Inputs-Separate'!B60</f>
        <v>0</v>
      </c>
      <c r="C57" s="3"/>
    </row>
    <row r="58" spans="1:3" ht="15">
      <c r="A58" s="4" t="s">
        <v>147</v>
      </c>
      <c r="B58" s="68">
        <v>0.3</v>
      </c>
      <c r="C58" s="3"/>
    </row>
    <row r="65" ht="15">
      <c r="E65" s="12"/>
    </row>
  </sheetData>
  <mergeCells count="10">
    <mergeCell ref="F32:H32"/>
    <mergeCell ref="A39:C39"/>
    <mergeCell ref="A49:C49"/>
    <mergeCell ref="A55:C55"/>
    <mergeCell ref="A1:C1"/>
    <mergeCell ref="F1:H1"/>
    <mergeCell ref="F11:H11"/>
    <mergeCell ref="A16:C16"/>
    <mergeCell ref="A23:C23"/>
    <mergeCell ref="A27:C27"/>
  </mergeCells>
  <dataValidations count="2">
    <dataValidation type="list" showInputMessage="1" showErrorMessage="1" promptTitle="Frequency" sqref="C50:C53 C44:C45 C47">
      <formula1>Frequency</formula1>
    </dataValidation>
    <dataValidation type="list" showInputMessage="1" showErrorMessage="1" promptTitle="Frequency" sqref="C46">
      <formula1>'frequency dropdown options'!$A$6:$A$7</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topLeftCell="A31">
      <selection activeCell="E45" sqref="E45"/>
    </sheetView>
  </sheetViews>
  <sheetFormatPr defaultColWidth="8.8515625" defaultRowHeight="15"/>
  <cols>
    <col min="1" max="1" width="36.140625" style="0" bestFit="1" customWidth="1"/>
    <col min="2" max="2" width="18.421875" style="0" bestFit="1" customWidth="1"/>
    <col min="3" max="3" width="22.421875" style="0" bestFit="1" customWidth="1"/>
    <col min="4" max="4" width="25.00390625" style="0" bestFit="1" customWidth="1"/>
    <col min="5" max="5" width="14.57421875" style="0" customWidth="1"/>
  </cols>
  <sheetData>
    <row r="1" spans="1:5" ht="18">
      <c r="A1" s="213" t="s">
        <v>14</v>
      </c>
      <c r="B1" s="214"/>
      <c r="C1" s="214"/>
      <c r="D1" s="214"/>
      <c r="E1" s="214"/>
    </row>
    <row r="2" spans="1:5" ht="15">
      <c r="A2" s="215" t="s">
        <v>15</v>
      </c>
      <c r="B2" s="215"/>
      <c r="C2" s="215"/>
      <c r="D2" s="215"/>
      <c r="E2" s="215"/>
    </row>
    <row r="3" spans="1:5" ht="15">
      <c r="A3" s="215" t="s">
        <v>134</v>
      </c>
      <c r="B3" s="215"/>
      <c r="C3" s="215"/>
      <c r="D3" s="215"/>
      <c r="E3" s="215"/>
    </row>
    <row r="4" spans="1:5" ht="15">
      <c r="A4" s="1"/>
      <c r="B4" s="1"/>
      <c r="C4" s="1"/>
      <c r="D4" s="1"/>
      <c r="E4" s="1"/>
    </row>
    <row r="5" spans="1:5" ht="15">
      <c r="A5" s="2" t="s">
        <v>1</v>
      </c>
      <c r="B5" s="69" t="s">
        <v>138</v>
      </c>
      <c r="C5" s="70" t="s">
        <v>155</v>
      </c>
      <c r="D5" s="71" t="s">
        <v>154</v>
      </c>
      <c r="E5" s="125" t="s">
        <v>178</v>
      </c>
    </row>
    <row r="6" spans="1:5" ht="15">
      <c r="A6" s="1" t="s">
        <v>156</v>
      </c>
      <c r="B6" s="97">
        <f>(1-'Inputs-Separate'!$B$2)*('Inputs-Separate'!$G$4*'Inputs-Separate'!$B$5+'Inputs-Separate'!$G$5*'Inputs-Separate'!$B$8+'Inputs-Separate'!$G$6*'Inputs-Separate'!$B$11)</f>
        <v>2111.9999999999995</v>
      </c>
      <c r="C6" s="97">
        <f>(1-'Inputs-Consolidated'!$B$2)*('Inputs-Consolidated'!$G$4*'Inputs-Consolidated'!$B$5+'Inputs-Consolidated'!$G$5*'Inputs-Consolidated'!$B$8+'Inputs-Consolidated'!$G$6*'Inputs-Consolidated'!$B$11)</f>
        <v>2111.9999999999995</v>
      </c>
      <c r="D6" s="98">
        <f>(1-'Inputs-Buy Pork'!$B$2)*('Inputs-Buy Pork'!$G$4*'Inputs-Buy Pork'!$B$5+'Inputs-Buy Pork'!$G$5*'Inputs-Buy Pork'!$B$8+'Inputs-Buy Pork'!$G$6*'Inputs-Buy Pork'!$B$11)</f>
        <v>2111.9999999999995</v>
      </c>
      <c r="E6" s="97">
        <f>(1-'Inputs-Buy Beef'!$B$2)*('Inputs-Buy Beef'!$G$4*'Inputs-Buy Beef'!$B$5+'Inputs-Buy Beef'!$G$5*'Inputs-Buy Beef'!$B$8+'Inputs-Buy Beef'!$G$6*'Inputs-Buy Beef'!$B$11)</f>
        <v>2111.9947199999992</v>
      </c>
    </row>
    <row r="7" spans="1:5" ht="15" thickBot="1">
      <c r="A7" s="7" t="str">
        <f>"     Less sales returns and allowances"</f>
        <v xml:space="preserve">     Less sales returns and allowances</v>
      </c>
      <c r="B7" s="99"/>
      <c r="C7" s="99"/>
      <c r="D7" s="99"/>
      <c r="E7" s="99"/>
    </row>
    <row r="8" spans="1:5" ht="15">
      <c r="A8" s="2" t="s">
        <v>0</v>
      </c>
      <c r="B8" s="100">
        <f>$B$6-$B$7</f>
        <v>2111.9999999999995</v>
      </c>
      <c r="C8" s="100">
        <f>$C$6-$C$7</f>
        <v>2111.9999999999995</v>
      </c>
      <c r="D8" s="100">
        <f>$D$6-$D$7</f>
        <v>2111.9999999999995</v>
      </c>
      <c r="E8" s="100">
        <f>$E$6-$E$7</f>
        <v>2111.9947199999992</v>
      </c>
    </row>
    <row r="9" spans="1:5" ht="15">
      <c r="A9" s="1"/>
      <c r="B9" s="97"/>
      <c r="C9" s="97"/>
      <c r="D9" s="97"/>
      <c r="E9" s="97"/>
    </row>
    <row r="10" spans="1:5" ht="15">
      <c r="A10" s="2" t="s">
        <v>2</v>
      </c>
      <c r="B10" s="100"/>
      <c r="C10" s="100"/>
      <c r="D10" s="100"/>
      <c r="E10" s="100"/>
    </row>
    <row r="11" spans="1:5" ht="15">
      <c r="A11" s="1" t="s">
        <v>115</v>
      </c>
      <c r="B11" s="97">
        <f>('Inputs-Separate'!$G$13+'Inputs-Separate'!$G$14)*((1-'Inputs-Separate'!$B$2)*'Inputs-Separate'!$G$3)</f>
        <v>601.7586019885507</v>
      </c>
      <c r="C11" s="97">
        <f>('Inputs-Consolidated'!$G$14+'Inputs-Consolidated'!$G$13)*((1-'Inputs-Consolidated'!$B$2)*'Inputs-Consolidated'!$G$3)</f>
        <v>601.7586019885507</v>
      </c>
      <c r="D11" s="97">
        <f>('Inputs-Buy Pork'!$G$14+'Inputs-Buy Pork'!$G$13)*((1-'Inputs-Buy Pork'!$B$2)*'Inputs-Buy Pork'!$G$3)</f>
        <v>601.7586019885507</v>
      </c>
      <c r="E11" s="123">
        <f>('Inputs-Buy Beef'!$G$15)*(1-'Inputs-Buy Beef'!$B$2)*'Inputs-Buy Beef'!$G$3</f>
        <v>162.23959439999996</v>
      </c>
    </row>
    <row r="12" spans="1:5" ht="15">
      <c r="A12" s="74" t="s">
        <v>93</v>
      </c>
      <c r="B12" s="101">
        <f>('Inputs-Separate'!$G$15+'Inputs-Separate'!$G$16)*(1-'Inputs-Separate'!$B$2)*'Inputs-Separate'!$G$3</f>
        <v>252.78298936835515</v>
      </c>
      <c r="C12" s="101">
        <f>('Inputs-Consolidated'!$G$16+'Inputs-Consolidated'!$G$15)*(1-'Inputs-Consolidated'!$B$2)*'Inputs-Consolidated'!$G$3</f>
        <v>252.78298936835515</v>
      </c>
      <c r="D12" s="101">
        <f>('Inputs-Buy Pork'!$G$15)*(1-'Inputs-Buy Pork'!$B$2)*'Inputs-Buy Pork'!$G$3</f>
        <v>162.23999999999998</v>
      </c>
      <c r="E12" s="97">
        <f>('Inputs-Buy Beef'!$G$14+'Inputs-Buy Beef'!$G$13)*((1-'Inputs-Buy Beef'!$B$2)*'Inputs-Buy Beef'!$G$3)</f>
        <v>252.7823574108817</v>
      </c>
    </row>
    <row r="13" spans="1:5" ht="15">
      <c r="A13" s="1" t="s">
        <v>157</v>
      </c>
      <c r="B13" s="102">
        <f>('Inputs-Separate'!$G$18+'Inputs-Separate'!$G$19+'Inputs-Separate'!$G$20)*((1-'Inputs-Separate'!$B$2)*'Inputs-Separate'!$G$3)</f>
        <v>121.91999999999997</v>
      </c>
      <c r="C13" s="102">
        <f>('Inputs-Consolidated'!$G$18+'Inputs-Consolidated'!$G$19+'Inputs-Consolidated'!$G$20)*((1-'Inputs-Consolidated'!$B$2)*'Inputs-Consolidated'!$G$3)</f>
        <v>121.91999999999997</v>
      </c>
      <c r="D13" s="102">
        <f>('Inputs-Buy Pork'!$G$18+'Inputs-Buy Pork'!$G$19+'Inputs-Buy Pork'!$G$17)*((1-'Inputs-Buy Pork'!$B$2)*'Inputs-Buy Pork'!$G$3)</f>
        <v>121.91999999999997</v>
      </c>
      <c r="E13" s="97">
        <f>('Inputs-Buy Beef'!$G$18+'Inputs-Buy Beef'!$G$19+'Inputs-Buy Beef'!$G$17)*((1-'Inputs-Buy Beef'!$B$2)*'Inputs-Buy Beef'!$G$3)</f>
        <v>121.91969519999996</v>
      </c>
    </row>
    <row r="14" spans="1:5" ht="15">
      <c r="A14" s="1" t="s">
        <v>39</v>
      </c>
      <c r="B14" s="97">
        <f>'Inputs-Separate'!$G$22*(1-'Inputs-Separate'!$B$2)*('Inputs-Separate'!$G$7)</f>
        <v>191.99999999999994</v>
      </c>
      <c r="C14" s="97">
        <f>'Inputs-Consolidated'!$G$22*(1-'Inputs-Consolidated'!$B$2)*('Inputs-Consolidated'!$G$7)</f>
        <v>191.99999999999994</v>
      </c>
      <c r="D14" s="97">
        <f>'Inputs-Buy Pork'!$G$21*(1-'Inputs-Buy Pork'!$B$2)*('Inputs-Buy Pork'!$G$7)</f>
        <v>191.99999999999994</v>
      </c>
      <c r="E14" s="97">
        <f>'Inputs-Buy Beef'!$G$21*(1-'Inputs-Buy Beef'!$B$2)*('Inputs-Buy Beef'!$G$7)</f>
        <v>191.99951999999993</v>
      </c>
    </row>
    <row r="15" spans="1:5" ht="15">
      <c r="A15" s="10" t="s">
        <v>139</v>
      </c>
      <c r="B15" s="102">
        <f>('Inputs-Separate'!$G$17*(1-'Inputs-Separate'!$B$2)*('Inputs-Separate'!$G$3))</f>
        <v>57.07180478308131</v>
      </c>
      <c r="C15" s="102">
        <f>('Inputs-Consolidated'!$G$17*(1-'Inputs-Consolidated'!$B$2)*('Inputs-Consolidated'!$G$3))</f>
        <v>35.45636291705129</v>
      </c>
      <c r="D15" s="97">
        <f>('Inputs-Buy Pork'!$G$16*(1-'Inputs-Buy Pork'!$B$2)*('Inputs-Buy Pork'!$G$3))*('Inputs-Buy Pork'!$B$19/('Inputs-Buy Pork'!$B$19+'Inputs-Buy Pork'!$B$20))</f>
        <v>25.285688460379628</v>
      </c>
      <c r="E15" s="124">
        <f>('Inputs-Buy Beef'!$G$16*(1-'Inputs-Buy Beef'!$B$2)*('Inputs-Buy Beef'!$G$3))*('Inputs-Buy Beef'!$B$19/('Inputs-Buy Beef'!$B$19+'Inputs-Buy Beef'!$B$20))</f>
        <v>21.190691238273914</v>
      </c>
    </row>
    <row r="16" spans="1:5" ht="15">
      <c r="A16" s="1" t="s">
        <v>160</v>
      </c>
      <c r="B16" s="97">
        <f>'Inputs-Separate'!$G$31*'Inputs-Separate'!$B$44*'Inputs-Separate'!$B$43</f>
        <v>1280</v>
      </c>
      <c r="C16" s="97">
        <f>'Inputs-Consolidated'!$G$31*'Inputs-Consolidated'!$B$42*'Inputs-Consolidated'!$B$43</f>
        <v>1280</v>
      </c>
      <c r="D16" s="97">
        <f>'Inputs-Buy Pork'!$G$30*'Inputs-Buy Pork'!$B$39*'Inputs-Buy Pork'!$B$40</f>
        <v>1280</v>
      </c>
      <c r="E16" s="97">
        <f>'Inputs-Buy Beef'!$G$30*'Inputs-Buy Beef'!$B$40*'Inputs-Buy Beef'!$B$41</f>
        <v>1279.9968</v>
      </c>
    </row>
    <row r="17" spans="1:5" ht="15" thickBot="1">
      <c r="A17" s="7" t="s">
        <v>40</v>
      </c>
      <c r="B17" s="103">
        <f>'Inputs-Separate'!$G$21*(1-'Inputs-Separate'!$B$2)*'Inputs-Separate'!$G$3</f>
        <v>0</v>
      </c>
      <c r="C17" s="103">
        <f>'Inputs-Consolidated'!$G$21*(1-'Inputs-Consolidated'!$B$2)*'Inputs-Consolidated'!$G$3</f>
        <v>0</v>
      </c>
      <c r="D17" s="103">
        <f>'Inputs-Buy Pork'!$G$20*(1-'Inputs-Buy Pork'!$B$2)*'Inputs-Buy Pork'!$G$3</f>
        <v>0</v>
      </c>
      <c r="E17" s="99">
        <f>'Inputs-Buy Beef'!$G$20*(1-'Inputs-Buy Beef'!$B$2)*'Inputs-Buy Beef'!$G$3</f>
        <v>0</v>
      </c>
    </row>
    <row r="18" spans="1:6" ht="15">
      <c r="A18" s="2" t="s">
        <v>3</v>
      </c>
      <c r="B18" s="100">
        <f>SUM($B$11:$B$17)</f>
        <v>2505.533396139987</v>
      </c>
      <c r="C18" s="100">
        <f>SUM($C$11:$C$17)</f>
        <v>2483.917954273957</v>
      </c>
      <c r="D18" s="100">
        <f>SUM($D$11:$D$17)</f>
        <v>2383.20429044893</v>
      </c>
      <c r="E18" s="100">
        <f>SUM($E$11:$E$17)</f>
        <v>2030.1286582491553</v>
      </c>
      <c r="F18" s="1"/>
    </row>
    <row r="19" spans="1:5" ht="15">
      <c r="A19" s="1"/>
      <c r="B19" s="97"/>
      <c r="C19" s="97"/>
      <c r="D19" s="97"/>
      <c r="E19" s="97"/>
    </row>
    <row r="20" spans="1:5" ht="15" thickBot="1">
      <c r="A20" s="8" t="s">
        <v>4</v>
      </c>
      <c r="B20" s="104">
        <f>$B$8-$B$18</f>
        <v>-393.5333961399874</v>
      </c>
      <c r="C20" s="104">
        <f>$C$8-$C$18</f>
        <v>-371.91795427395755</v>
      </c>
      <c r="D20" s="104">
        <f>$D$8-$D$18</f>
        <v>-271.20429044893035</v>
      </c>
      <c r="E20" s="104">
        <f>$E$8-$E$18</f>
        <v>81.86606175084398</v>
      </c>
    </row>
    <row r="21" spans="1:5" ht="15">
      <c r="A21" s="1"/>
      <c r="B21" s="97"/>
      <c r="C21" s="97"/>
      <c r="D21" s="97"/>
      <c r="E21" s="97"/>
    </row>
    <row r="22" spans="1:5" ht="15">
      <c r="A22" s="2" t="s">
        <v>5</v>
      </c>
      <c r="B22" s="100"/>
      <c r="C22" s="100"/>
      <c r="D22" s="100"/>
      <c r="E22" s="100"/>
    </row>
    <row r="23" spans="1:5" ht="15">
      <c r="A23" s="1" t="s">
        <v>6</v>
      </c>
      <c r="B23" s="97"/>
      <c r="C23" s="97"/>
      <c r="D23" s="97"/>
      <c r="E23" s="97"/>
    </row>
    <row r="24" spans="1:5" ht="15">
      <c r="A24" s="1" t="str">
        <f>"     Advertising"</f>
        <v xml:space="preserve">     Advertising</v>
      </c>
      <c r="B24" s="97">
        <f>IF('Inputs-Separate'!$C$47="Monthly",'Inputs-Separate'!$B$47*12,IF('Inputs-Separate'!$C$47="Daily",'Inputs-Separate'!$B$47*365,IF('Inputs-Separate'!$C$47="Weekly",'Inputs-Separate'!$B$47*52,IF('Inputs-Separate'!$C$47="Annually",'Inputs-Separate'!$B$47*1))))</f>
        <v>200</v>
      </c>
      <c r="C24" s="97">
        <f>IF('Inputs-Consolidated'!$C$46="Monthly",'Inputs-Consolidated'!$B$46*12,IF('Inputs-Consolidated'!$C$46="Daily",'Inputs-Consolidated'!$B$67*365,IF('Inputs-Consolidated'!$C$46="Weekly",'Inputs-Consolidated'!$B$46*52,IF('Inputs-Consolidated'!$C$46="Annually",'Inputs-Consolidated'!$B$46*1))))</f>
        <v>200</v>
      </c>
      <c r="D24" s="97">
        <f>IF('Inputs-Buy Pork'!$C$43="Monthly",'Inputs-Buy Pork'!$B$43*12,IF('Inputs-Buy Pork'!$C$43="Daily",'Inputs-Buy Pork'!$B$43*365,IF('Inputs-Buy Pork'!$C$43="Weekly",'Inputs-Buy Pork'!$B$43*52,IF('Inputs-Buy Pork'!$C$43="Annually",'Inputs-Buy Pork'!$B$43*1))))</f>
        <v>200</v>
      </c>
      <c r="E24" s="97">
        <f>IF('Inputs-Buy Beef'!$C$44="Monthly",'Inputs-Buy Beef'!$B$44*12,IF('Inputs-Buy Beef'!$C$44="Daily",'Inputs-Buy Beef'!$B$44*365,IF('Inputs-Buy Beef'!$C$44="Weekly",'Inputs-Buy Beef'!$B$44*52,IF('Inputs-Buy Beef'!$C$44="Annually",'Inputs-Buy Beef'!$B$44*1))))</f>
        <v>200</v>
      </c>
    </row>
    <row r="25" spans="1:5" ht="15">
      <c r="A25" s="1" t="str">
        <f>"     Depreciation"</f>
        <v xml:space="preserve">     Depreciation</v>
      </c>
      <c r="B25" s="97">
        <f>IF('Inputs-Separate'!$C$48="Daily",'Inputs-Separate'!$B$48*365,IF('Inputs-Separate'!$C$48="Weekly",'Inputs-Separate'!$B$48*52,IF('Inputs-Separate'!$C$48="Monthly",'Inputs-Separate'!$B$48*12,IF('Inputs-Separate'!$C$48="Annually",'Inputs-Separate'!$B$48))))</f>
        <v>0</v>
      </c>
      <c r="C25" s="97">
        <f>IF('Inputs-Consolidated'!$C$47="Daily",'Inputs-Consolidated'!$B$47*365,IF('Inputs-Consolidated'!$C$47="Weekly",'Inputs-Consolidated'!$B$47*52,IF('Inputs-Consolidated'!$C$47="Monthly",'Inputs-Consolidated'!$B$47*12,IF('Inputs-Consolidated'!$C$47="Annually",'Inputs-Consolidated'!$B$47))))</f>
        <v>0</v>
      </c>
      <c r="D25" s="97">
        <f>IF('Inputs-Buy Pork'!$C$44="Daily",'Inputs-Buy Pork'!$B$44*365,IF('Inputs-Buy Pork'!$C$44="Weekly",'Inputs-Buy Pork'!$B$44*52,IF('Inputs-Buy Pork'!$C$44="Monthly",'Inputs-Buy Pork'!$B$44*12,IF('Inputs-Buy Pork'!$C$44="Annually",'Inputs-Buy Pork'!$B$44))))</f>
        <v>0</v>
      </c>
      <c r="E25" s="97">
        <f>IF('Inputs-Buy Beef'!$C$45="Daily",'Inputs-Buy Beef'!$B$45*365,IF('Inputs-Buy Beef'!$C$45="Weekly",'Inputs-Buy Beef'!$B$45*52,IF('Inputs-Buy Beef'!$C$45="Monthly",'Inputs-Buy Beef'!$B$45*12,IF('Inputs-Buy Beef'!$C$45="Annually",'Inputs-Buy Beef'!$B$45))))</f>
        <v>0</v>
      </c>
    </row>
    <row r="26" spans="1:5" ht="15">
      <c r="A26" s="1" t="str">
        <f>"     Transportation of meatballs"</f>
        <v xml:space="preserve">     Transportation of meatballs</v>
      </c>
      <c r="B26" s="102">
        <f>IF('Inputs-Separate'!$C$49="Monthly",'Inputs-Separate'!$B$49*12,IF('Inputs-Separate'!$C$49="Annually",'Inputs-Separate'!$B$49))</f>
        <v>500</v>
      </c>
      <c r="C26" s="102">
        <f>IF('Inputs-Consolidated'!$C$48="Monthly",'Inputs-Consolidated'!$B$48*12,IF('Inputs-Consolidated'!$C$48="Annually",'Inputs-Consolidated'!$B$48))</f>
        <v>500</v>
      </c>
      <c r="D26" s="102">
        <f>IF('Inputs-Buy Pork'!$C$45="Monthly",'Inputs-Buy Pork'!$B$45*12,IF('Inputs-Buy Pork'!$C$45="Annually",'Inputs-Buy Pork'!$B$45))</f>
        <v>500</v>
      </c>
      <c r="E26" s="97">
        <f>IF('Inputs-Buy Beef'!$C$46="Monthly",'Inputs-Buy Beef'!$B$46*12,IF('Inputs-Buy Beef'!$C$46="Annually",'Inputs-Buy Beef'!$B$46))</f>
        <v>500</v>
      </c>
    </row>
    <row r="27" spans="1:5" ht="15" thickBot="1">
      <c r="A27" s="7" t="str">
        <f>"     Other"</f>
        <v xml:space="preserve">     Other</v>
      </c>
      <c r="B27" s="99">
        <f>IF('Inputs-Separate'!$C$50="Weekly",'Inputs-Separate'!$B$50*52,IF('Inputs-Separate'!$C$50="Daily",'Inputs-Separate'!$B$50*365,IF('Inputs-Separate'!$C$50="Monthly",'Inputs-Separate'!$B$50*12,IF('Inputs-Separate'!C50="Annually",'Inputs-Separate'!$B$50))))</f>
        <v>0</v>
      </c>
      <c r="C27" s="99">
        <f>IF('Inputs-Consolidated'!$C$49="Weekly",'Inputs-Consolidated'!$B$49*52,IF('Inputs-Consolidated'!$C$49="Daily",'Inputs-Consolidated'!$B$49*365,IF('Inputs-Consolidated'!$C$49="Monthly",'Inputs-Consolidated'!$B$49*12,IF('Inputs-Consolidated'!C49="Annually",'Inputs-Consolidated'!$B$49))))</f>
        <v>0</v>
      </c>
      <c r="D27" s="99">
        <f>IF('Inputs-Buy Pork'!$C$46="Weekly",'Inputs-Buy Pork'!$B$46*52,IF('Inputs-Buy Pork'!$C$46="Daily",'Inputs-Buy Pork'!$B$46*365,IF('Inputs-Buy Pork'!$C$46="Monthly",'Inputs-Buy Pork'!$B$46*12,IF('Inputs-Buy Pork'!E46="Annually",'Inputs-Buy Pork'!$B$46))))</f>
        <v>0</v>
      </c>
      <c r="E27" s="99">
        <f>IF('Inputs-Buy Beef'!$C$47="Weekly",'Inputs-Buy Beef'!$B$47*52,IF('Inputs-Buy Beef'!$C$47="Daily",'Inputs-Buy Beef'!$B$47*365,IF('Inputs-Buy Beef'!$C$47="Monthly",'Inputs-Buy Beef'!$B$47*12,IF('Inputs-Buy Beef'!F47="Annually",'Inputs-Buy Beef'!$B$47))))</f>
        <v>0</v>
      </c>
    </row>
    <row r="28" spans="1:5" ht="15">
      <c r="A28" s="2" t="s">
        <v>7</v>
      </c>
      <c r="B28" s="100">
        <f>SUM($B$23:$B$27)</f>
        <v>700</v>
      </c>
      <c r="C28" s="100">
        <f>SUM($C$23:$C$27)</f>
        <v>700</v>
      </c>
      <c r="D28" s="100">
        <f>SUM($D$23:$D$27)</f>
        <v>700</v>
      </c>
      <c r="E28" s="100">
        <f>SUM($E$23:$E$27)</f>
        <v>700</v>
      </c>
    </row>
    <row r="29" spans="1:5" ht="15">
      <c r="A29" s="1"/>
      <c r="B29" s="97"/>
      <c r="C29" s="97"/>
      <c r="D29" s="97"/>
      <c r="E29" s="97"/>
    </row>
    <row r="30" spans="1:5" ht="15">
      <c r="A30" s="2" t="s">
        <v>8</v>
      </c>
      <c r="B30" s="100"/>
      <c r="C30" s="100"/>
      <c r="D30" s="100"/>
      <c r="E30" s="100"/>
    </row>
    <row r="31" spans="1:5" ht="15">
      <c r="A31" s="1" t="str">
        <f>"     Salaries and wages"</f>
        <v xml:space="preserve">     Salaries and wages</v>
      </c>
      <c r="B31" s="97">
        <f>IF('Inputs-Separate'!$C$53="Annually",'Inputs-Separate'!$B$53,IF('Inputs-Separate'!$C$53="Daily",'Inputs-Separate'!$B$53*365,IF('Inputs-Separate'!$C$53="Weekly",'Inputs-Separate'!$B$53*52,IF('Inputs-Separate'!$C$53="Monthly",'Inputs-Separate'!$B$53*12))))</f>
        <v>0</v>
      </c>
      <c r="C31" s="97">
        <f>IF('Inputs-Consolidated'!$C$52="Annually",'Inputs-Consolidated'!$B$52,IF('Inputs-Consolidated'!$C$52="Daily",'Inputs-Consolidated'!$B$52*365,IF('Inputs-Consolidated'!$C$52="Weekly",'Inputs-Consolidated'!$B$52*52,IF('Inputs-Consolidated'!$C$52="Monthly",'Inputs-Consolidated'!$B$52*12))))</f>
        <v>0</v>
      </c>
      <c r="D31" s="97">
        <f>IF('Inputs-Buy Pork'!$C$49="Annually",'Inputs-Buy Pork'!$B$49,IF('Inputs-Buy Pork'!$C$49="Daily",'Inputs-Buy Pork'!$B$49*365,IF('Inputs-Buy Pork'!$C$49="Weekly",'Inputs-Buy Pork'!$B$49*52,IF('Inputs-Buy Pork'!$C$49="Monthly",'Inputs-Buy Pork'!$B$49*12))))</f>
        <v>0</v>
      </c>
      <c r="E31" s="97">
        <f>IF('Inputs-Buy Beef'!$C$50="Annually",'Inputs-Buy Beef'!$B$50,IF('Inputs-Buy Beef'!$C$50="Daily",'Inputs-Buy Beef'!$B$50*365,IF('Inputs-Buy Beef'!$C$50="Weekly",'Inputs-Buy Beef'!$B$50*52,IF('Inputs-Buy Beef'!$C$50="Monthly",'Inputs-Buy Beef'!$B$50*12))))</f>
        <v>0</v>
      </c>
    </row>
    <row r="32" spans="1:5" ht="15">
      <c r="A32" s="1" t="str">
        <f>"     Payroll taxes"</f>
        <v xml:space="preserve">     Payroll taxes</v>
      </c>
      <c r="B32" s="102">
        <f>'Inputs-Separate'!$G$29</f>
        <v>128</v>
      </c>
      <c r="C32" s="102">
        <f>'Inputs-Consolidated'!$G$29</f>
        <v>128</v>
      </c>
      <c r="D32" s="102">
        <f>'Inputs-Buy Pork'!$G$28</f>
        <v>128</v>
      </c>
      <c r="E32" s="97">
        <f>'Inputs-Buy Beef'!$G$28</f>
        <v>128</v>
      </c>
    </row>
    <row r="33" spans="1:5" ht="15">
      <c r="A33" s="1" t="str">
        <f>"     Rent"</f>
        <v xml:space="preserve">     Rent</v>
      </c>
      <c r="B33" s="97">
        <f>IF('Inputs-Separate'!$C$54="Daily",'Inputs-Separate'!$B$54*365,IF('Inputs-Separate'!$C$54="Weekly",'Inputs-Separate'!$B$54*52,IF('Inputs-Separate'!$C$54="Monthly",'Inputs-Separate'!$B$54*12,IF('Inputs-Separate'!$C$54="Annually",'Inputs-Separate'!$B$54))))</f>
        <v>0</v>
      </c>
      <c r="C33" s="97">
        <f>IF('Inputs-Consolidated'!$C$53="Daily",'Inputs-Consolidated'!$B$53*365,IF('Inputs-Consolidated'!$C$53="Weekly",'Inputs-Consolidated'!$B$53*52,IF('Inputs-Consolidated'!$C$53="Monthly",'Inputs-Consolidated'!$B$53*12,IF('Inputs-Consolidated'!$C$53="Annually",'Inputs-Consolidated'!$B$53))))</f>
        <v>0</v>
      </c>
      <c r="D33" s="97">
        <f>IF('Inputs-Buy Pork'!$C$50="Daily",'Inputs-Buy Pork'!$B$50*365,IF('Inputs-Buy Pork'!$C$50="Weekly",'Inputs-Buy Pork'!$B$50*52,IF('Inputs-Buy Pork'!$C$50="Monthly",'Inputs-Buy Pork'!$B$50*12,IF('Inputs-Buy Pork'!$C$50="Annually",'Inputs-Buy Pork'!$B$50))))</f>
        <v>0</v>
      </c>
      <c r="E33" s="97">
        <f>IF('Inputs-Buy Beef'!$C$51="Daily",'Inputs-Buy Beef'!$B$51*365,IF('Inputs-Buy Beef'!$C$51="Weekly",'Inputs-Buy Beef'!$B$51*52,IF('Inputs-Buy Beef'!$C$51="Monthly",'Inputs-Buy Beef'!$B$51*12,IF('Inputs-Buy Beef'!$C$51="Annually",'Inputs-Buy Beef'!$B$51))))</f>
        <v>0</v>
      </c>
    </row>
    <row r="34" spans="1:5" ht="15">
      <c r="A34" s="1" t="str">
        <f>"     Utilities"</f>
        <v xml:space="preserve">     Utilities</v>
      </c>
      <c r="B34" s="97">
        <f>IF('Inputs-Separate'!$C$55="Daily",'Inputs-Separate'!$B$55*365,IF('Inputs-Separate'!$C$55="Weekly",'Inputs-Separate'!$B$55*52,IF('Inputs-Separate'!$C$55="Monthly",'Inputs-Separate'!$B$55*12,IF('Inputs-Separate'!$C$55="Annually",'Inputs-Separate'!$B$55))))</f>
        <v>500</v>
      </c>
      <c r="C34" s="97">
        <f>IF('Inputs-Consolidated'!$C$54="Daily",'Inputs-Consolidated'!$B$54*365,IF('Inputs-Consolidated'!$C$54="Weekly",'Inputs-Consolidated'!$B$54*52,IF('Inputs-Consolidated'!$C$54="Monthly",'Inputs-Consolidated'!$B$54*12,IF('Inputs-Consolidated'!$C$54="Annually",'Inputs-Consolidated'!$B$54))))</f>
        <v>500</v>
      </c>
      <c r="D34" s="97">
        <f>IF('Inputs-Buy Pork'!$C$51="Daily",'Inputs-Buy Pork'!$B$51*365,IF('Inputs-Buy Pork'!$C$51="Weekly",'Inputs-Buy Pork'!$B$51*52,IF('Inputs-Buy Pork'!$C$51="Monthly",'Inputs-Buy Pork'!$B$51*12,IF('Inputs-Buy Pork'!$C$51="Annually",'Inputs-Buy Pork'!$B$51))))</f>
        <v>500</v>
      </c>
      <c r="E34" s="97">
        <f>IF('Inputs-Buy Beef'!$C$52="Daily",'Inputs-Buy Beef'!$B$52*365,IF('Inputs-Buy Beef'!$C$52="Weekly",'Inputs-Buy Beef'!$B$52*52,IF('Inputs-Buy Beef'!$C$52="Monthly",'Inputs-Buy Beef'!$B$52*12,IF('Inputs-Buy Beef'!$C$52="Annually",'Inputs-Buy Beef'!$B$52))))</f>
        <v>500</v>
      </c>
    </row>
    <row r="35" spans="1:5" ht="15" thickBot="1">
      <c r="A35" s="7" t="str">
        <f>"     Equipment maintenance"</f>
        <v xml:space="preserve">     Equipment maintenance</v>
      </c>
      <c r="B35" s="99">
        <f>IF('Inputs-Separate'!$C$56="Daily",'Inputs-Separate'!$B$56*365,IF('Inputs-Separate'!$C$56="Weekly",'Inputs-Separate'!$B$56*52,IF('Inputs-Separate'!$C$56="Monthly",'Inputs-Separate'!$B$56*12,IF('Inputs-Separate'!$C$56="Annually",'Inputs-Separate'!$B$56))))</f>
        <v>0</v>
      </c>
      <c r="C35" s="99">
        <f>IF('Inputs-Consolidated'!$C$55="Daily",'Inputs-Consolidated'!$B$55*365,IF('Inputs-Consolidated'!$C$55="Weekly",'Inputs-Consolidated'!$B$55*52,IF('Inputs-Consolidated'!$C$55="Monthly",'Inputs-Consolidated'!$B$55*12,IF('Inputs-Consolidated'!$C$55="Annually",'Inputs-Consolidated'!$B$55))))</f>
        <v>0</v>
      </c>
      <c r="D35" s="99">
        <f>IF('Inputs-Buy Pork'!$C$52="Daily",'Inputs-Buy Pork'!$B$52*365,IF('Inputs-Buy Pork'!$C$52="Weekly",'Inputs-Buy Pork'!$B$52*52,IF('Inputs-Buy Pork'!$C$52="Monthly",'Inputs-Buy Pork'!$B$52*12,IF('Inputs-Buy Pork'!$C$52="Annually",'Inputs-Buy Pork'!$B$52))))</f>
        <v>0</v>
      </c>
      <c r="E35" s="99">
        <f>IF('Inputs-Buy Beef'!$C$53="Daily",'Inputs-Buy Beef'!$B$53*365,IF('Inputs-Buy Beef'!$C$53="Weekly",'Inputs-Buy Beef'!$B$53*52,IF('Inputs-Buy Beef'!$C$53="Monthly",'Inputs-Buy Beef'!$B$53*12,IF('Inputs-Buy Beef'!$C$53="Annually",'Inputs-Buy Beef'!$B$53))))</f>
        <v>0</v>
      </c>
    </row>
    <row r="36" spans="1:5" ht="15">
      <c r="A36" s="2" t="s">
        <v>9</v>
      </c>
      <c r="B36" s="100">
        <f>SUM($B$31:$B$35)</f>
        <v>628</v>
      </c>
      <c r="C36" s="100">
        <f>SUM($C$31:$C$35)</f>
        <v>628</v>
      </c>
      <c r="D36" s="100">
        <f>SUM($D$31:$D$35)</f>
        <v>628</v>
      </c>
      <c r="E36" s="100">
        <f>SUM($E$31:$E$35)</f>
        <v>628</v>
      </c>
    </row>
    <row r="37" spans="1:5" ht="15">
      <c r="A37" s="1"/>
      <c r="B37" s="97"/>
      <c r="C37" s="97"/>
      <c r="D37" s="97"/>
      <c r="E37" s="97"/>
    </row>
    <row r="38" spans="1:5" ht="15">
      <c r="A38" s="2" t="s">
        <v>10</v>
      </c>
      <c r="B38" s="100">
        <f>$B$28+$B$36</f>
        <v>1328</v>
      </c>
      <c r="C38" s="100">
        <f>$C$28+$C$36</f>
        <v>1328</v>
      </c>
      <c r="D38" s="100">
        <f>$D$28+$D$36</f>
        <v>1328</v>
      </c>
      <c r="E38" s="100">
        <f>$E$28+$E$36</f>
        <v>1328</v>
      </c>
    </row>
    <row r="39" spans="1:5" ht="15">
      <c r="A39" s="1"/>
      <c r="B39" s="97"/>
      <c r="C39" s="97"/>
      <c r="D39" s="97"/>
      <c r="E39" s="97"/>
    </row>
    <row r="40" spans="1:5" ht="15">
      <c r="A40" s="1" t="s">
        <v>158</v>
      </c>
      <c r="B40" s="97">
        <f>$B$20-$B$38</f>
        <v>-1721.5333961399874</v>
      </c>
      <c r="C40" s="97">
        <f>$C$20-$C$38</f>
        <v>-1699.9179542739575</v>
      </c>
      <c r="D40" s="97">
        <f>$D$20-$D$38</f>
        <v>-1599.2042904489304</v>
      </c>
      <c r="E40" s="97">
        <f>$E$20-$E$38</f>
        <v>-1246.133938249156</v>
      </c>
    </row>
    <row r="41" spans="1:5" ht="15">
      <c r="A41" s="1" t="str">
        <f>"     Taxes on income"</f>
        <v xml:space="preserve">     Taxes on income</v>
      </c>
      <c r="B41" s="97">
        <f>'Inputs-Separate'!$B$59*'Pro Forma Income-Meatballs'!B40</f>
        <v>0</v>
      </c>
      <c r="C41" s="97">
        <f>'Inputs-Consolidated'!$B$58*'Pro Forma Income-Meatballs'!C40</f>
        <v>0</v>
      </c>
      <c r="D41" s="97">
        <f>'Inputs-Buy Pork'!$B$55*'Pro Forma Income-Meatballs'!D40</f>
        <v>0</v>
      </c>
      <c r="E41" s="97">
        <f>'Inputs-Buy Beef'!$B$56*'Pro Forma Income-Meatballs'!E40</f>
        <v>0</v>
      </c>
    </row>
    <row r="42" spans="1:5" ht="15">
      <c r="A42" s="1" t="s">
        <v>159</v>
      </c>
      <c r="B42" s="97">
        <f>$B$40-$B$41</f>
        <v>-1721.5333961399874</v>
      </c>
      <c r="C42" s="97">
        <f>$C$40-$C$41</f>
        <v>-1699.9179542739575</v>
      </c>
      <c r="D42" s="97">
        <f>$D$40-$D$41</f>
        <v>-1599.2042904489304</v>
      </c>
      <c r="E42" s="97">
        <f>$E$40-$E$41</f>
        <v>-1246.133938249156</v>
      </c>
    </row>
    <row r="43" spans="1:5" ht="15">
      <c r="A43" s="1"/>
      <c r="B43" s="97"/>
      <c r="C43" s="97"/>
      <c r="D43" s="97"/>
      <c r="E43" s="97"/>
    </row>
    <row r="44" spans="1:5" ht="15">
      <c r="A44" s="1" t="s">
        <v>11</v>
      </c>
      <c r="B44" s="97">
        <f>'Inputs-Separate'!$B$60</f>
        <v>0</v>
      </c>
      <c r="C44" s="97">
        <f>'Inputs-Consolidated'!$B$59</f>
        <v>0</v>
      </c>
      <c r="D44" s="97">
        <f>'Inputs-Buy Pork'!$B$56</f>
        <v>0</v>
      </c>
      <c r="E44" s="97">
        <f>'Inputs-Buy Beef'!$B$57</f>
        <v>0</v>
      </c>
    </row>
    <row r="45" spans="1:5" ht="15">
      <c r="A45" s="1" t="s">
        <v>12</v>
      </c>
      <c r="B45" s="97">
        <f>'Inputs-Separate'!$B$59*'Pro Forma Income-Meatballs'!$B$44</f>
        <v>0</v>
      </c>
      <c r="C45" s="97">
        <f>'Inputs-Consolidated'!$B$58*'Pro Forma Income-Meatballs'!$C$44</f>
        <v>0</v>
      </c>
      <c r="D45" s="97">
        <f>'Inputs-Buy Pork'!$B$55*'Pro Forma Income-Meatballs'!$D$44</f>
        <v>0</v>
      </c>
      <c r="E45" s="97">
        <f>'Inputs-Buy Beef'!$B$56*'Pro Forma Income-Meatballs'!$E$44</f>
        <v>0</v>
      </c>
    </row>
    <row r="46" spans="1:5" ht="15">
      <c r="A46" s="1"/>
      <c r="B46" s="97"/>
      <c r="C46" s="97"/>
      <c r="D46" s="97"/>
      <c r="E46" s="97"/>
    </row>
    <row r="47" spans="1:5" ht="15" thickBot="1">
      <c r="A47" s="9" t="s">
        <v>13</v>
      </c>
      <c r="B47" s="105">
        <f>$B$42+$B$44-$B$45</f>
        <v>-1721.5333961399874</v>
      </c>
      <c r="C47" s="105">
        <f>$C$42+$C$44-$C$45</f>
        <v>-1699.9179542739575</v>
      </c>
      <c r="D47" s="105">
        <f>$D$42+$D$44-$D$45</f>
        <v>-1599.2042904489304</v>
      </c>
      <c r="E47" s="105">
        <f>$E$42+$E$44-$E$45</f>
        <v>-1246.133938249156</v>
      </c>
    </row>
    <row r="48" spans="1:5" ht="15" thickTop="1">
      <c r="A48" s="1"/>
      <c r="B48" s="1"/>
      <c r="C48" s="34"/>
      <c r="D48" s="34"/>
      <c r="E48" s="1"/>
    </row>
    <row r="49" ht="15">
      <c r="D49" s="12"/>
    </row>
  </sheetData>
  <mergeCells count="3">
    <mergeCell ref="A1:E1"/>
    <mergeCell ref="A2:E2"/>
    <mergeCell ref="A3:E3"/>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5"/>
  <sheetViews>
    <sheetView showGridLines="0" zoomScale="69" zoomScaleNormal="69" zoomScalePageLayoutView="55" workbookViewId="0" topLeftCell="A1"/>
  </sheetViews>
  <sheetFormatPr defaultColWidth="8.8515625" defaultRowHeight="15"/>
  <cols>
    <col min="1" max="1" width="28.421875" style="0" bestFit="1" customWidth="1"/>
    <col min="2" max="2" width="12.140625" style="0" bestFit="1" customWidth="1"/>
    <col min="3" max="3" width="19.421875" style="0" bestFit="1" customWidth="1"/>
    <col min="4" max="4" width="12.8515625" style="0" customWidth="1"/>
    <col min="5" max="5" width="22.421875" style="0" customWidth="1"/>
    <col min="6" max="6" width="11.7109375" style="0" customWidth="1"/>
    <col min="7" max="9" width="20.8515625" style="0" customWidth="1"/>
    <col min="44" max="44" width="8.8515625" style="0" customWidth="1"/>
  </cols>
  <sheetData>
    <row r="1" spans="1:45" ht="15">
      <c r="A1" s="61" t="s">
        <v>135</v>
      </c>
      <c r="B1" s="218" t="s">
        <v>138</v>
      </c>
      <c r="C1" s="219"/>
      <c r="D1" s="220" t="s">
        <v>137</v>
      </c>
      <c r="E1" s="221"/>
      <c r="F1" s="222" t="s">
        <v>154</v>
      </c>
      <c r="G1" s="223"/>
      <c r="H1" s="226" t="s">
        <v>178</v>
      </c>
      <c r="I1" s="227"/>
      <c r="K1" s="224" t="s">
        <v>138</v>
      </c>
      <c r="L1" s="224"/>
      <c r="M1" s="224"/>
      <c r="N1" s="224"/>
      <c r="O1" s="224"/>
      <c r="P1" s="224"/>
      <c r="Q1" s="224"/>
      <c r="R1" s="224"/>
      <c r="S1" s="49"/>
      <c r="T1" s="225" t="s">
        <v>137</v>
      </c>
      <c r="U1" s="225"/>
      <c r="V1" s="225"/>
      <c r="W1" s="225"/>
      <c r="X1" s="225"/>
      <c r="Y1" s="225"/>
      <c r="Z1" s="225"/>
      <c r="AA1" s="225"/>
      <c r="AB1" s="49"/>
      <c r="AC1" s="217" t="s">
        <v>154</v>
      </c>
      <c r="AD1" s="217"/>
      <c r="AE1" s="217"/>
      <c r="AF1" s="217"/>
      <c r="AG1" s="217"/>
      <c r="AH1" s="217"/>
      <c r="AI1" s="217"/>
      <c r="AJ1" s="217"/>
      <c r="AL1" s="216" t="s">
        <v>178</v>
      </c>
      <c r="AM1" s="216"/>
      <c r="AN1" s="216"/>
      <c r="AO1" s="216"/>
      <c r="AP1" s="216"/>
      <c r="AQ1" s="216"/>
      <c r="AR1" s="216"/>
      <c r="AS1" s="144"/>
    </row>
    <row r="2" spans="1:9" ht="15">
      <c r="A2" s="62" t="s">
        <v>103</v>
      </c>
      <c r="B2" s="80" t="s">
        <v>104</v>
      </c>
      <c r="C2" s="81" t="s">
        <v>105</v>
      </c>
      <c r="D2" s="82" t="s">
        <v>104</v>
      </c>
      <c r="E2" s="83" t="s">
        <v>105</v>
      </c>
      <c r="F2" s="84" t="s">
        <v>104</v>
      </c>
      <c r="G2" s="126" t="s">
        <v>105</v>
      </c>
      <c r="H2" s="132" t="s">
        <v>104</v>
      </c>
      <c r="I2" s="133" t="s">
        <v>105</v>
      </c>
    </row>
    <row r="3" spans="1:9" ht="15">
      <c r="A3" s="62" t="s">
        <v>115</v>
      </c>
      <c r="B3" s="85">
        <f>'Pro Forma Income-Meatballs'!$B$11</f>
        <v>601.7586019885507</v>
      </c>
      <c r="C3" s="53">
        <f>B3/'Pro Forma Income-Meatballs'!$B$6</f>
        <v>0.2849235804870032</v>
      </c>
      <c r="D3" s="89">
        <f>'Pro Forma Income-Meatballs'!$C11</f>
        <v>601.7586019885507</v>
      </c>
      <c r="E3" s="52">
        <f>D3/'Pro Forma Income-Meatballs'!$C$6</f>
        <v>0.2849235804870032</v>
      </c>
      <c r="F3" s="91">
        <f>'Pro Forma Income-Meatballs'!$D11</f>
        <v>601.7586019885507</v>
      </c>
      <c r="G3" s="127">
        <f>F3/'Pro Forma Income-Meatballs'!$D$6</f>
        <v>0.2849235804870032</v>
      </c>
      <c r="H3" s="142">
        <f>'Pro Forma Income-Meatballs'!$E11</f>
        <v>162.23959439999996</v>
      </c>
      <c r="I3" s="134">
        <f>H3/'Pro Forma Income-Meatballs'!$E$6</f>
        <v>0.07681818181818183</v>
      </c>
    </row>
    <row r="4" spans="1:9" ht="15">
      <c r="A4" s="62" t="s">
        <v>93</v>
      </c>
      <c r="B4" s="85">
        <f>'Pro Forma Income-Meatballs'!$B$12</f>
        <v>252.78298936835515</v>
      </c>
      <c r="C4" s="53">
        <f>B4/'Pro Forma Income-Meatballs'!$B$6</f>
        <v>0.11968891542062272</v>
      </c>
      <c r="D4" s="89">
        <f>'Pro Forma Income-Meatballs'!$C12</f>
        <v>252.78298936835515</v>
      </c>
      <c r="E4" s="52">
        <f>D4/'Pro Forma Income-Meatballs'!$C$6</f>
        <v>0.11968891542062272</v>
      </c>
      <c r="F4" s="91">
        <f>'Pro Forma Income-Meatballs'!$D12</f>
        <v>162.23999999999998</v>
      </c>
      <c r="G4" s="127">
        <f>F4/'Pro Forma Income-Meatballs'!$D$6</f>
        <v>0.07681818181818183</v>
      </c>
      <c r="H4" s="142">
        <f>'Pro Forma Income-Meatballs'!$E12</f>
        <v>252.7823574108817</v>
      </c>
      <c r="I4" s="134">
        <f>H4/'Pro Forma Income-Meatballs'!$E$6</f>
        <v>0.11968891542062274</v>
      </c>
    </row>
    <row r="5" spans="1:9" ht="15">
      <c r="A5" s="62" t="s">
        <v>95</v>
      </c>
      <c r="B5" s="85">
        <f>'Pro Forma Income-Meatballs'!$B$14</f>
        <v>191.99999999999994</v>
      </c>
      <c r="C5" s="53">
        <f>B5/'Pro Forma Income-Meatballs'!$B$6</f>
        <v>0.0909090909090909</v>
      </c>
      <c r="D5" s="89">
        <f>'Pro Forma Income-Meatballs'!$C$14</f>
        <v>191.99999999999994</v>
      </c>
      <c r="E5" s="52">
        <f>D5/'Pro Forma Income-Meatballs'!$C$6</f>
        <v>0.0909090909090909</v>
      </c>
      <c r="F5" s="91">
        <f>'Pro Forma Income-Meatballs'!$D$14</f>
        <v>191.99999999999994</v>
      </c>
      <c r="G5" s="127">
        <f>F5/'Pro Forma Income-Meatballs'!$D$6</f>
        <v>0.0909090909090909</v>
      </c>
      <c r="H5" s="142">
        <f>'Pro Forma Income-Meatballs'!$E$14</f>
        <v>191.99951999999993</v>
      </c>
      <c r="I5" s="134">
        <f>H5/'Pro Forma Income-Meatballs'!$E$6</f>
        <v>0.09090909090909091</v>
      </c>
    </row>
    <row r="6" spans="1:9" ht="15">
      <c r="A6" s="62" t="s">
        <v>125</v>
      </c>
      <c r="B6" s="85">
        <f>'Pro Forma Income-Meatballs'!$B$17</f>
        <v>0</v>
      </c>
      <c r="C6" s="53">
        <f>B6/'Pro Forma Income-Meatballs'!$B$6</f>
        <v>0</v>
      </c>
      <c r="D6" s="89">
        <f>'Pro Forma Income-Meatballs'!$C$17</f>
        <v>0</v>
      </c>
      <c r="E6" s="52">
        <f>D6/'Pro Forma Income-Meatballs'!$C$6</f>
        <v>0</v>
      </c>
      <c r="F6" s="91">
        <f>'Pro Forma Income-Meatballs'!$D$17</f>
        <v>0</v>
      </c>
      <c r="G6" s="127">
        <f>F6/'Pro Forma Income-Meatballs'!$D$6</f>
        <v>0</v>
      </c>
      <c r="H6" s="142">
        <f>'Pro Forma Income-Meatballs'!$E$17</f>
        <v>0</v>
      </c>
      <c r="I6" s="134">
        <f>H6/'Pro Forma Income-Meatballs'!$E$6</f>
        <v>0</v>
      </c>
    </row>
    <row r="7" spans="1:9" ht="15">
      <c r="A7" s="62" t="s">
        <v>96</v>
      </c>
      <c r="B7" s="85">
        <f>'Pro Forma Income-Meatballs'!$B$13</f>
        <v>121.91999999999997</v>
      </c>
      <c r="C7" s="53">
        <f>B7/'Pro Forma Income-Meatballs'!$B$6</f>
        <v>0.057727272727272724</v>
      </c>
      <c r="D7" s="89">
        <f>'Pro Forma Income-Meatballs'!$C$13</f>
        <v>121.91999999999997</v>
      </c>
      <c r="E7" s="52">
        <f>D7/'Pro Forma Income-Meatballs'!$C$6</f>
        <v>0.057727272727272724</v>
      </c>
      <c r="F7" s="91">
        <f>'Pro Forma Income-Meatballs'!$D$13</f>
        <v>121.91999999999997</v>
      </c>
      <c r="G7" s="127">
        <f>F7/'Pro Forma Income-Meatballs'!$D$6</f>
        <v>0.057727272727272724</v>
      </c>
      <c r="H7" s="142">
        <f>'Pro Forma Income-Meatballs'!$E$13</f>
        <v>121.91969519999996</v>
      </c>
      <c r="I7" s="134">
        <f>H7/'Pro Forma Income-Meatballs'!$E$6</f>
        <v>0.05772727272727273</v>
      </c>
    </row>
    <row r="8" spans="1:9" ht="15">
      <c r="A8" s="62" t="s">
        <v>97</v>
      </c>
      <c r="B8" s="85">
        <f>'Pro Forma Income-Meatballs'!$B$16</f>
        <v>1280</v>
      </c>
      <c r="C8" s="53">
        <f>B8/'Pro Forma Income-Meatballs'!$B$6</f>
        <v>0.6060606060606062</v>
      </c>
      <c r="D8" s="89">
        <f>'Pro Forma Income-Meatballs'!$C$16</f>
        <v>1280</v>
      </c>
      <c r="E8" s="52">
        <f>D8/'Pro Forma Income-Meatballs'!$C$6</f>
        <v>0.6060606060606062</v>
      </c>
      <c r="F8" s="91">
        <f>'Pro Forma Income-Meatballs'!$D$16</f>
        <v>1280</v>
      </c>
      <c r="G8" s="127">
        <f>F8/'Pro Forma Income-Meatballs'!$D$6</f>
        <v>0.6060606060606062</v>
      </c>
      <c r="H8" s="142">
        <f>'Pro Forma Income-Meatballs'!$E$16</f>
        <v>1279.9968</v>
      </c>
      <c r="I8" s="134">
        <f>H8/'Pro Forma Income-Meatballs'!$E$6</f>
        <v>0.6060606060606062</v>
      </c>
    </row>
    <row r="9" spans="1:9" ht="15">
      <c r="A9" s="62" t="s">
        <v>98</v>
      </c>
      <c r="B9" s="85">
        <f>'Pro Forma Income-Meatballs'!$B$24</f>
        <v>200</v>
      </c>
      <c r="C9" s="53">
        <f>B9/'Pro Forma Income-Meatballs'!$B$6</f>
        <v>0.09469696969696972</v>
      </c>
      <c r="D9" s="89">
        <f>'Pro Forma Income-Meatballs'!$C$24</f>
        <v>200</v>
      </c>
      <c r="E9" s="52">
        <f>D9/'Pro Forma Income-Meatballs'!$C$6</f>
        <v>0.09469696969696972</v>
      </c>
      <c r="F9" s="91">
        <f>'Pro Forma Income-Meatballs'!$D$24</f>
        <v>200</v>
      </c>
      <c r="G9" s="127">
        <f>F9/'Pro Forma Income-Meatballs'!$D$6</f>
        <v>0.09469696969696972</v>
      </c>
      <c r="H9" s="142">
        <f>'Pro Forma Income-Meatballs'!$E$24</f>
        <v>200</v>
      </c>
      <c r="I9" s="134">
        <f>H9/'Pro Forma Income-Meatballs'!$E$6</f>
        <v>0.09469720643998583</v>
      </c>
    </row>
    <row r="10" spans="1:9" ht="15">
      <c r="A10" s="62" t="s">
        <v>99</v>
      </c>
      <c r="B10" s="85">
        <f>'Pro Forma Income-Meatballs'!$B$25</f>
        <v>0</v>
      </c>
      <c r="C10" s="53">
        <f>B10/'Pro Forma Income-Meatballs'!$B$6</f>
        <v>0</v>
      </c>
      <c r="D10" s="89">
        <f>'Pro Forma Income-Meatballs'!$C$25</f>
        <v>0</v>
      </c>
      <c r="E10" s="52">
        <f>D10/'Pro Forma Income-Meatballs'!$C$6</f>
        <v>0</v>
      </c>
      <c r="F10" s="91">
        <f>'Pro Forma Income-Meatballs'!$D$25</f>
        <v>0</v>
      </c>
      <c r="G10" s="127">
        <f>F10/'Pro Forma Income-Meatballs'!$D$6</f>
        <v>0</v>
      </c>
      <c r="H10" s="142">
        <f>'Pro Forma Income-Meatballs'!$E$25</f>
        <v>0</v>
      </c>
      <c r="I10" s="134">
        <f>H10/'Pro Forma Income-Meatballs'!$E$6</f>
        <v>0</v>
      </c>
    </row>
    <row r="11" spans="1:9" ht="15">
      <c r="A11" s="62" t="s">
        <v>100</v>
      </c>
      <c r="B11" s="85">
        <f>'Pro Forma Income-Meatballs'!$B$26</f>
        <v>500</v>
      </c>
      <c r="C11" s="53">
        <f>B11/'Pro Forma Income-Meatballs'!$B$6</f>
        <v>0.23674242424242428</v>
      </c>
      <c r="D11" s="89">
        <f>'Pro Forma Income-Meatballs'!$C$26</f>
        <v>500</v>
      </c>
      <c r="E11" s="52">
        <f>D11/'Pro Forma Income-Meatballs'!$C$6</f>
        <v>0.23674242424242428</v>
      </c>
      <c r="F11" s="91">
        <f>'Pro Forma Income-Meatballs'!$D$26</f>
        <v>500</v>
      </c>
      <c r="G11" s="127">
        <f>F11/'Pro Forma Income-Meatballs'!$D$6</f>
        <v>0.23674242424242428</v>
      </c>
      <c r="H11" s="142">
        <f>'Pro Forma Income-Meatballs'!$E$26</f>
        <v>500</v>
      </c>
      <c r="I11" s="134">
        <f>H11/'Pro Forma Income-Meatballs'!$E$6</f>
        <v>0.23674301609996456</v>
      </c>
    </row>
    <row r="12" spans="1:9" ht="15">
      <c r="A12" s="62" t="s">
        <v>124</v>
      </c>
      <c r="B12" s="85">
        <f>'Pro Forma Income-Meatballs'!$B$27</f>
        <v>0</v>
      </c>
      <c r="C12" s="53">
        <f>B12/'Pro Forma Income-Meatballs'!$B$6</f>
        <v>0</v>
      </c>
      <c r="D12" s="89">
        <f>'Pro Forma Income-Meatballs'!$C$27</f>
        <v>0</v>
      </c>
      <c r="E12" s="52">
        <f>D12/'Pro Forma Income-Meatballs'!$C$6</f>
        <v>0</v>
      </c>
      <c r="F12" s="91">
        <f>'Pro Forma Income-Meatballs'!$D$27</f>
        <v>0</v>
      </c>
      <c r="G12" s="127">
        <f>F12/'Pro Forma Income-Meatballs'!$D$6</f>
        <v>0</v>
      </c>
      <c r="H12" s="142">
        <f>'Pro Forma Income-Meatballs'!$E$27</f>
        <v>0</v>
      </c>
      <c r="I12" s="134">
        <f>H12/'Pro Forma Income-Meatballs'!$E$6</f>
        <v>0</v>
      </c>
    </row>
    <row r="13" spans="1:9" ht="15">
      <c r="A13" s="62" t="s">
        <v>101</v>
      </c>
      <c r="B13" s="85">
        <f>'Pro Forma Income-Meatballs'!$B$32</f>
        <v>128</v>
      </c>
      <c r="C13" s="53">
        <f>B13/'Pro Forma Income-Meatballs'!$B$6</f>
        <v>0.06060606060606062</v>
      </c>
      <c r="D13" s="89">
        <f>'Pro Forma Income-Meatballs'!$C$32</f>
        <v>128</v>
      </c>
      <c r="E13" s="52">
        <f>D13/'Pro Forma Income-Meatballs'!$C$6</f>
        <v>0.06060606060606062</v>
      </c>
      <c r="F13" s="91">
        <f>'Pro Forma Income-Meatballs'!$D$32</f>
        <v>128</v>
      </c>
      <c r="G13" s="127">
        <f>F13/'Pro Forma Income-Meatballs'!$D$6</f>
        <v>0.06060606060606062</v>
      </c>
      <c r="H13" s="142">
        <f>'Pro Forma Income-Meatballs'!$E$32</f>
        <v>128</v>
      </c>
      <c r="I13" s="134">
        <f>H13/'Pro Forma Income-Meatballs'!$E$6</f>
        <v>0.06060621212159093</v>
      </c>
    </row>
    <row r="14" spans="1:9" ht="15.75" thickBot="1">
      <c r="A14" s="63" t="s">
        <v>102</v>
      </c>
      <c r="B14" s="86">
        <f>'Pro Forma Income-Meatballs'!$B$34</f>
        <v>500</v>
      </c>
      <c r="C14" s="54">
        <f>B14/'Pro Forma Income-Meatballs'!$B$6</f>
        <v>0.23674242424242428</v>
      </c>
      <c r="D14" s="90">
        <f>'Pro Forma Income-Meatballs'!$C$34</f>
        <v>500</v>
      </c>
      <c r="E14" s="56">
        <f>D14/'Pro Forma Income-Meatballs'!$C$6</f>
        <v>0.23674242424242428</v>
      </c>
      <c r="F14" s="92">
        <f>'Pro Forma Income-Meatballs'!$D$34</f>
        <v>500</v>
      </c>
      <c r="G14" s="128">
        <f>F14/'Pro Forma Income-Meatballs'!$D$6</f>
        <v>0.23674242424242428</v>
      </c>
      <c r="H14" s="143">
        <f>'Pro Forma Income-Meatballs'!$E$34</f>
        <v>500</v>
      </c>
      <c r="I14" s="135">
        <f>H14/'Pro Forma Income-Meatballs'!$E$6</f>
        <v>0.23674301609996456</v>
      </c>
    </row>
    <row r="15" spans="2:9" ht="15.75" thickBot="1">
      <c r="B15" s="87"/>
      <c r="C15" s="51"/>
      <c r="D15" s="50"/>
      <c r="E15" s="51"/>
      <c r="F15" s="50"/>
      <c r="G15" s="51"/>
      <c r="H15" s="1"/>
      <c r="I15" s="1"/>
    </row>
    <row r="16" spans="1:9" ht="15">
      <c r="A16" s="61" t="s">
        <v>136</v>
      </c>
      <c r="B16" s="88"/>
      <c r="C16" s="55"/>
      <c r="D16" s="57"/>
      <c r="E16" s="58"/>
      <c r="F16" s="59"/>
      <c r="G16" s="129"/>
      <c r="H16" s="136"/>
      <c r="I16" s="137"/>
    </row>
    <row r="17" spans="1:9" ht="15">
      <c r="A17" s="62" t="s">
        <v>156</v>
      </c>
      <c r="B17" s="85"/>
      <c r="C17" s="93">
        <f>'Pro Forma Income-Meatballs'!$B$6</f>
        <v>2111.9999999999995</v>
      </c>
      <c r="D17" s="89"/>
      <c r="E17" s="94">
        <f>'Pro Forma Income-Meatballs'!$C$6</f>
        <v>2111.9999999999995</v>
      </c>
      <c r="F17" s="91"/>
      <c r="G17" s="130">
        <f>'Pro Forma Income-Meatballs'!$D$6</f>
        <v>2111.9999999999995</v>
      </c>
      <c r="H17" s="138"/>
      <c r="I17" s="139">
        <f>'Pro Forma Income-Meatballs'!$E$6</f>
        <v>2111.9947199999992</v>
      </c>
    </row>
    <row r="18" spans="1:9" ht="15">
      <c r="A18" s="62" t="s">
        <v>115</v>
      </c>
      <c r="B18" s="85"/>
      <c r="C18" s="93">
        <f>-'Pro Forma Income-Meatballs'!$B$11</f>
        <v>-601.7586019885507</v>
      </c>
      <c r="D18" s="89"/>
      <c r="E18" s="94">
        <f>-'Pro Forma Income-Meatballs'!$C$11</f>
        <v>-601.7586019885507</v>
      </c>
      <c r="F18" s="91"/>
      <c r="G18" s="130">
        <f>-'Pro Forma Income-Meatballs'!$D$11</f>
        <v>-601.7586019885507</v>
      </c>
      <c r="H18" s="138"/>
      <c r="I18" s="139">
        <f>-'Pro Forma Income-Meatballs'!$E$11</f>
        <v>-162.23959439999996</v>
      </c>
    </row>
    <row r="19" spans="1:9" ht="15">
      <c r="A19" s="75" t="s">
        <v>93</v>
      </c>
      <c r="B19" s="85"/>
      <c r="C19" s="93">
        <f>-'Pro Forma Income-Meatballs'!$B$12</f>
        <v>-252.78298936835515</v>
      </c>
      <c r="D19" s="89"/>
      <c r="E19" s="94">
        <f>-'Pro Forma Income-Meatballs'!$C$12</f>
        <v>-252.78298936835515</v>
      </c>
      <c r="F19" s="91"/>
      <c r="G19" s="130">
        <f>-'Pro Forma Income-Meatballs'!$D$12</f>
        <v>-162.23999999999998</v>
      </c>
      <c r="H19" s="138"/>
      <c r="I19" s="139">
        <f>-'Pro Forma Income-Meatballs'!$E$12</f>
        <v>-252.7823574108817</v>
      </c>
    </row>
    <row r="20" spans="1:9" ht="15">
      <c r="A20" s="75" t="s">
        <v>139</v>
      </c>
      <c r="B20" s="85"/>
      <c r="C20" s="93">
        <f>-'Pro Forma Income-Meatballs'!B15</f>
        <v>-57.07180478308131</v>
      </c>
      <c r="D20" s="89"/>
      <c r="E20" s="94">
        <f>-'Pro Forma Income-Meatballs'!C15</f>
        <v>-35.45636291705129</v>
      </c>
      <c r="F20" s="91"/>
      <c r="G20" s="130">
        <f>-'Pro Forma Income-Meatballs'!D15</f>
        <v>-25.285688460379628</v>
      </c>
      <c r="H20" s="138"/>
      <c r="I20" s="139">
        <f>-'Pro Forma Income-Meatballs'!E15</f>
        <v>-21.190691238273914</v>
      </c>
    </row>
    <row r="21" spans="1:9" ht="15">
      <c r="A21" s="62" t="s">
        <v>157</v>
      </c>
      <c r="B21" s="85"/>
      <c r="C21" s="93">
        <f>-'Pro Forma Income-Meatballs'!$B$13</f>
        <v>-121.91999999999997</v>
      </c>
      <c r="D21" s="89"/>
      <c r="E21" s="94">
        <f>-'Pro Forma Income-Meatballs'!$C$13</f>
        <v>-121.91999999999997</v>
      </c>
      <c r="F21" s="91"/>
      <c r="G21" s="130">
        <f>-'Pro Forma Income-Meatballs'!$D$13</f>
        <v>-121.91999999999997</v>
      </c>
      <c r="H21" s="138"/>
      <c r="I21" s="139">
        <f>-'Pro Forma Income-Meatballs'!$E$13</f>
        <v>-121.91969519999996</v>
      </c>
    </row>
    <row r="22" spans="1:9" ht="15">
      <c r="A22" s="62" t="s">
        <v>39</v>
      </c>
      <c r="B22" s="85"/>
      <c r="C22" s="93">
        <f>-'Pro Forma Income-Meatballs'!$B$14</f>
        <v>-191.99999999999994</v>
      </c>
      <c r="D22" s="89"/>
      <c r="E22" s="94">
        <f>-'Pro Forma Income-Meatballs'!$C$14</f>
        <v>-191.99999999999994</v>
      </c>
      <c r="F22" s="91"/>
      <c r="G22" s="130">
        <f>-'Pro Forma Income-Meatballs'!$D$14</f>
        <v>-191.99999999999994</v>
      </c>
      <c r="H22" s="138"/>
      <c r="I22" s="139">
        <f>-'Pro Forma Income-Meatballs'!$E$14</f>
        <v>-191.99951999999993</v>
      </c>
    </row>
    <row r="23" spans="1:9" ht="15">
      <c r="A23" s="62" t="s">
        <v>40</v>
      </c>
      <c r="B23" s="85"/>
      <c r="C23" s="93">
        <f>-'Pro Forma Income-Meatballs'!$B$17</f>
        <v>0</v>
      </c>
      <c r="D23" s="89"/>
      <c r="E23" s="94">
        <f>-'Pro Forma Income-Meatballs'!$C$17</f>
        <v>0</v>
      </c>
      <c r="F23" s="91"/>
      <c r="G23" s="130">
        <f>-'Pro Forma Income-Meatballs'!$D$17</f>
        <v>0</v>
      </c>
      <c r="H23" s="138"/>
      <c r="I23" s="139">
        <f>-'Pro Forma Income-Meatballs'!$E$17</f>
        <v>0</v>
      </c>
    </row>
    <row r="24" spans="1:9" ht="15">
      <c r="A24" s="62" t="str">
        <f>"     Salaries and wages"</f>
        <v xml:space="preserve">     Salaries and wages</v>
      </c>
      <c r="B24" s="85"/>
      <c r="C24" s="93">
        <f>-'Pro Forma Income-Meatballs'!$B$16</f>
        <v>-1280</v>
      </c>
      <c r="D24" s="89"/>
      <c r="E24" s="94">
        <f>-'Pro Forma Income-Meatballs'!$C$16</f>
        <v>-1280</v>
      </c>
      <c r="F24" s="91"/>
      <c r="G24" s="130">
        <f>-'Pro Forma Income-Meatballs'!$D$16</f>
        <v>-1280</v>
      </c>
      <c r="H24" s="138"/>
      <c r="I24" s="139">
        <f>-'Pro Forma Income-Meatballs'!$E$16</f>
        <v>-1279.9968</v>
      </c>
    </row>
    <row r="25" spans="1:9" ht="15">
      <c r="A25" s="62" t="str">
        <f>"     Advertising"</f>
        <v xml:space="preserve">     Advertising</v>
      </c>
      <c r="B25" s="85"/>
      <c r="C25" s="93">
        <f>-'Pro Forma Income-Meatballs'!$B$24</f>
        <v>-200</v>
      </c>
      <c r="D25" s="89"/>
      <c r="E25" s="94">
        <f>-'Pro Forma Income-Meatballs'!$C$24</f>
        <v>-200</v>
      </c>
      <c r="F25" s="91"/>
      <c r="G25" s="130">
        <f>-'Pro Forma Income-Meatballs'!$D$24</f>
        <v>-200</v>
      </c>
      <c r="H25" s="138"/>
      <c r="I25" s="139">
        <f>-'Pro Forma Income-Meatballs'!$E$24</f>
        <v>-200</v>
      </c>
    </row>
    <row r="26" spans="1:9" ht="15">
      <c r="A26" s="62" t="str">
        <f>"     Depreciation"</f>
        <v xml:space="preserve">     Depreciation</v>
      </c>
      <c r="B26" s="85"/>
      <c r="C26" s="93">
        <f>-'Pro Forma Income-Meatballs'!$B$25</f>
        <v>0</v>
      </c>
      <c r="D26" s="89"/>
      <c r="E26" s="94">
        <f>-'Pro Forma Income-Meatballs'!$C$25</f>
        <v>0</v>
      </c>
      <c r="F26" s="91"/>
      <c r="G26" s="130">
        <f>-'Pro Forma Income-Meatballs'!$D$25</f>
        <v>0</v>
      </c>
      <c r="H26" s="138"/>
      <c r="I26" s="139">
        <f>-'Pro Forma Income-Meatballs'!$E$25</f>
        <v>0</v>
      </c>
    </row>
    <row r="27" spans="1:9" ht="15">
      <c r="A27" s="62" t="str">
        <f>"     Transportation"</f>
        <v xml:space="preserve">     Transportation</v>
      </c>
      <c r="B27" s="85"/>
      <c r="C27" s="93">
        <f>-'Pro Forma Income-Meatballs'!B26</f>
        <v>-500</v>
      </c>
      <c r="D27" s="89"/>
      <c r="E27" s="94">
        <f>-'Pro Forma Income-Meatballs'!C26</f>
        <v>-500</v>
      </c>
      <c r="F27" s="91"/>
      <c r="G27" s="130">
        <f>-'Pro Forma Income-Meatballs'!D26</f>
        <v>-500</v>
      </c>
      <c r="H27" s="138"/>
      <c r="I27" s="139">
        <f>-'Pro Forma Income-Meatballs'!E26</f>
        <v>-500</v>
      </c>
    </row>
    <row r="28" spans="1:9" ht="15">
      <c r="A28" s="62" t="str">
        <f>"     Other"</f>
        <v xml:space="preserve">     Other</v>
      </c>
      <c r="B28" s="85"/>
      <c r="C28" s="93">
        <f>-'Pro Forma Income-Meatballs'!$B$27</f>
        <v>0</v>
      </c>
      <c r="D28" s="89"/>
      <c r="E28" s="94">
        <f>-'Pro Forma Income-Meatballs'!$C$27</f>
        <v>0</v>
      </c>
      <c r="F28" s="91"/>
      <c r="G28" s="130">
        <f>-'Pro Forma Income-Meatballs'!$D$27</f>
        <v>0</v>
      </c>
      <c r="H28" s="138"/>
      <c r="I28" s="139">
        <f>-'Pro Forma Income-Meatballs'!$E$27</f>
        <v>0</v>
      </c>
    </row>
    <row r="29" spans="1:9" ht="15">
      <c r="A29" s="62" t="str">
        <f>"     Salaries and wages"</f>
        <v xml:space="preserve">     Salaries and wages</v>
      </c>
      <c r="B29" s="85"/>
      <c r="C29" s="93">
        <f>-'Pro Forma Income-Meatballs'!$B$31</f>
        <v>0</v>
      </c>
      <c r="D29" s="89"/>
      <c r="E29" s="94">
        <f>-'Pro Forma Income-Meatballs'!$C$31</f>
        <v>0</v>
      </c>
      <c r="F29" s="91"/>
      <c r="G29" s="130">
        <f>-'Pro Forma Income-Meatballs'!$D$31</f>
        <v>0</v>
      </c>
      <c r="H29" s="138"/>
      <c r="I29" s="139">
        <f>-'Pro Forma Income-Meatballs'!$E$31</f>
        <v>0</v>
      </c>
    </row>
    <row r="30" spans="1:9" ht="15">
      <c r="A30" s="62" t="str">
        <f>"     Payroll taxes"</f>
        <v xml:space="preserve">     Payroll taxes</v>
      </c>
      <c r="B30" s="85"/>
      <c r="C30" s="93">
        <f>-'Pro Forma Income-Meatballs'!$B$32</f>
        <v>-128</v>
      </c>
      <c r="D30" s="89"/>
      <c r="E30" s="94">
        <f>-'Pro Forma Income-Meatballs'!$C$32</f>
        <v>-128</v>
      </c>
      <c r="F30" s="91"/>
      <c r="G30" s="130">
        <f>-'Pro Forma Income-Meatballs'!$D$32</f>
        <v>-128</v>
      </c>
      <c r="H30" s="138"/>
      <c r="I30" s="139">
        <f>-'Pro Forma Income-Meatballs'!$E$32</f>
        <v>-128</v>
      </c>
    </row>
    <row r="31" spans="1:9" ht="15">
      <c r="A31" s="62" t="str">
        <f>"     Rent"</f>
        <v xml:space="preserve">     Rent</v>
      </c>
      <c r="B31" s="85"/>
      <c r="C31" s="93">
        <f>-'Pro Forma Income-Meatballs'!$B$33</f>
        <v>0</v>
      </c>
      <c r="D31" s="89"/>
      <c r="E31" s="94">
        <f>-'Pro Forma Income-Meatballs'!$C$33</f>
        <v>0</v>
      </c>
      <c r="F31" s="91"/>
      <c r="G31" s="130">
        <f>-'Pro Forma Income-Meatballs'!$D$33</f>
        <v>0</v>
      </c>
      <c r="H31" s="138"/>
      <c r="I31" s="139">
        <f>-'Pro Forma Income-Meatballs'!$E$33</f>
        <v>0</v>
      </c>
    </row>
    <row r="32" spans="1:9" ht="15">
      <c r="A32" s="62" t="str">
        <f>"     Utilities"</f>
        <v xml:space="preserve">     Utilities</v>
      </c>
      <c r="B32" s="85"/>
      <c r="C32" s="93">
        <f>-'Pro Forma Income-Meatballs'!$B$34</f>
        <v>-500</v>
      </c>
      <c r="D32" s="89"/>
      <c r="E32" s="94">
        <f>-'Pro Forma Income-Meatballs'!$C$34</f>
        <v>-500</v>
      </c>
      <c r="F32" s="91"/>
      <c r="G32" s="130">
        <f>-'Pro Forma Income-Meatballs'!$D$34</f>
        <v>-500</v>
      </c>
      <c r="H32" s="138"/>
      <c r="I32" s="139">
        <f>-'Pro Forma Income-Meatballs'!$E$34</f>
        <v>-500</v>
      </c>
    </row>
    <row r="33" spans="1:9" ht="15">
      <c r="A33" s="62" t="str">
        <f>"     Equipment maintenance"</f>
        <v xml:space="preserve">     Equipment maintenance</v>
      </c>
      <c r="B33" s="85"/>
      <c r="C33" s="93">
        <f>-'Pro Forma Income-Meatballs'!$B$35</f>
        <v>0</v>
      </c>
      <c r="D33" s="89"/>
      <c r="E33" s="94">
        <f>-'Pro Forma Income-Meatballs'!$C$35</f>
        <v>0</v>
      </c>
      <c r="F33" s="91"/>
      <c r="G33" s="130">
        <f>-'Pro Forma Income-Meatballs'!$D$35</f>
        <v>0</v>
      </c>
      <c r="H33" s="138"/>
      <c r="I33" s="139">
        <f>-'Pro Forma Income-Meatballs'!$E$35</f>
        <v>0</v>
      </c>
    </row>
    <row r="34" spans="1:9" ht="15.75" thickBot="1">
      <c r="A34" s="63" t="s">
        <v>161</v>
      </c>
      <c r="B34" s="86"/>
      <c r="C34" s="95">
        <f>SUM($C$17:$C$33)</f>
        <v>-1721.5333961399876</v>
      </c>
      <c r="D34" s="90"/>
      <c r="E34" s="96">
        <f>SUM(E17:E33)</f>
        <v>-1699.9179542739578</v>
      </c>
      <c r="F34" s="92"/>
      <c r="G34" s="131">
        <f>SUM(G17:G33)</f>
        <v>-1599.2042904489308</v>
      </c>
      <c r="H34" s="140"/>
      <c r="I34" s="141">
        <f>SUM(I17:I33)</f>
        <v>-1246.1339382491562</v>
      </c>
    </row>
    <row r="35" ht="15">
      <c r="B35" s="12"/>
    </row>
  </sheetData>
  <mergeCells count="8">
    <mergeCell ref="AL1:AR1"/>
    <mergeCell ref="AC1:AJ1"/>
    <mergeCell ref="B1:C1"/>
    <mergeCell ref="D1:E1"/>
    <mergeCell ref="F1:G1"/>
    <mergeCell ref="K1:R1"/>
    <mergeCell ref="T1:AA1"/>
    <mergeCell ref="H1:I1"/>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showGridLines="0" zoomScale="66" zoomScaleNormal="66" zoomScalePageLayoutView="40" workbookViewId="0" topLeftCell="A1">
      <selection activeCell="A1" sqref="A1:S1"/>
    </sheetView>
  </sheetViews>
  <sheetFormatPr defaultColWidth="8.8515625" defaultRowHeight="15"/>
  <cols>
    <col min="2" max="2" width="6.8515625" style="0" customWidth="1"/>
    <col min="3" max="3" width="10.00390625" style="0" customWidth="1"/>
    <col min="4" max="4" width="10.421875" style="0" bestFit="1" customWidth="1"/>
    <col min="5" max="5" width="15.28125" style="0" bestFit="1" customWidth="1"/>
    <col min="6" max="6" width="14.421875" style="0" bestFit="1" customWidth="1"/>
    <col min="7" max="7" width="14.421875" style="0" customWidth="1"/>
    <col min="8" max="8" width="20.00390625" style="0" bestFit="1" customWidth="1"/>
    <col min="9" max="11" width="20.00390625" style="0" customWidth="1"/>
    <col min="12" max="12" width="19.140625" style="0" bestFit="1" customWidth="1"/>
    <col min="13" max="15" width="19.140625" style="0" customWidth="1"/>
    <col min="16" max="16" width="18.140625" style="0" bestFit="1" customWidth="1"/>
    <col min="17" max="18" width="18.140625" style="0" customWidth="1"/>
    <col min="19" max="19" width="12.7109375" style="0" bestFit="1" customWidth="1"/>
  </cols>
  <sheetData>
    <row r="1" spans="1:19" ht="15">
      <c r="A1" s="228" t="s">
        <v>43</v>
      </c>
      <c r="B1" s="228"/>
      <c r="C1" s="228"/>
      <c r="D1" s="228"/>
      <c r="E1" s="228"/>
      <c r="F1" s="228"/>
      <c r="G1" s="228"/>
      <c r="H1" s="228"/>
      <c r="I1" s="228"/>
      <c r="J1" s="228"/>
      <c r="K1" s="228"/>
      <c r="L1" s="228"/>
      <c r="M1" s="228"/>
      <c r="N1" s="228"/>
      <c r="O1" s="228"/>
      <c r="P1" s="228"/>
      <c r="Q1" s="228"/>
      <c r="R1" s="228"/>
      <c r="S1" s="228"/>
    </row>
    <row r="2" spans="1:18" ht="15" thickBot="1">
      <c r="A2" s="37"/>
      <c r="B2" s="37"/>
      <c r="C2" s="37"/>
      <c r="D2" s="37"/>
      <c r="E2" s="37"/>
      <c r="F2" s="37"/>
      <c r="G2" s="37"/>
      <c r="H2" s="37"/>
      <c r="I2" s="37"/>
      <c r="J2" s="37"/>
      <c r="K2" s="37"/>
      <c r="L2" s="37"/>
      <c r="M2" s="37"/>
      <c r="N2" s="37"/>
      <c r="O2" s="37"/>
      <c r="P2" s="37"/>
      <c r="Q2" s="37"/>
      <c r="R2" s="37"/>
    </row>
    <row r="3" spans="1:19" ht="15" thickBot="1">
      <c r="A3" s="1"/>
      <c r="B3" s="1"/>
      <c r="C3" s="1"/>
      <c r="D3" s="234" t="s">
        <v>180</v>
      </c>
      <c r="E3" s="235"/>
      <c r="F3" s="235"/>
      <c r="G3" s="236"/>
      <c r="H3" s="237" t="s">
        <v>44</v>
      </c>
      <c r="I3" s="238"/>
      <c r="J3" s="238"/>
      <c r="K3" s="239"/>
      <c r="L3" s="240" t="s">
        <v>45</v>
      </c>
      <c r="M3" s="241"/>
      <c r="N3" s="241"/>
      <c r="O3" s="241"/>
      <c r="P3" s="234" t="s">
        <v>46</v>
      </c>
      <c r="Q3" s="235"/>
      <c r="R3" s="235"/>
      <c r="S3" s="169"/>
    </row>
    <row r="4" spans="1:19" ht="15" thickBot="1">
      <c r="A4" s="1"/>
      <c r="B4" s="1"/>
      <c r="C4" s="1"/>
      <c r="D4" s="165" t="s">
        <v>138</v>
      </c>
      <c r="E4" s="166" t="s">
        <v>137</v>
      </c>
      <c r="F4" s="167" t="s">
        <v>154</v>
      </c>
      <c r="G4" s="170" t="s">
        <v>178</v>
      </c>
      <c r="H4" s="165" t="s">
        <v>138</v>
      </c>
      <c r="I4" s="166" t="s">
        <v>137</v>
      </c>
      <c r="J4" s="167" t="s">
        <v>154</v>
      </c>
      <c r="K4" s="170" t="s">
        <v>178</v>
      </c>
      <c r="L4" s="159" t="s">
        <v>138</v>
      </c>
      <c r="M4" s="160" t="s">
        <v>137</v>
      </c>
      <c r="N4" s="161" t="s">
        <v>154</v>
      </c>
      <c r="O4" s="162" t="s">
        <v>178</v>
      </c>
      <c r="P4" s="165" t="s">
        <v>138</v>
      </c>
      <c r="Q4" s="166" t="s">
        <v>137</v>
      </c>
      <c r="R4" s="167" t="s">
        <v>154</v>
      </c>
      <c r="S4" s="168" t="s">
        <v>178</v>
      </c>
    </row>
    <row r="5" spans="1:19" ht="15" customHeight="1">
      <c r="A5" s="229" t="s">
        <v>143</v>
      </c>
      <c r="B5" s="232" t="s">
        <v>43</v>
      </c>
      <c r="C5" s="233"/>
      <c r="D5" s="150">
        <f>H5/'Inputs-Separate'!$G$2</f>
        <v>1.1984659042697225</v>
      </c>
      <c r="E5" s="148">
        <f>I5/'Inputs-Consolidated'!$G$2</f>
        <v>1.1699383387219984</v>
      </c>
      <c r="F5" s="149">
        <f>J5/'Inputs-Buy Pork'!$G$2</f>
        <v>1.1364008335814477</v>
      </c>
      <c r="G5" s="152">
        <f>K5/'Inputs-Buy Beef'!$G$2</f>
        <v>2.7710172851121166</v>
      </c>
      <c r="H5" s="45">
        <f>$L5*'Inputs-Separate'!$G$36</f>
        <v>5752.636340494668</v>
      </c>
      <c r="I5" s="14">
        <f>$M5*'Inputs-Consolidated'!$G$36</f>
        <v>5615.7040258655925</v>
      </c>
      <c r="J5" s="154">
        <f>N5*'Inputs-Buy Pork'!$G$35</f>
        <v>5454.724001190949</v>
      </c>
      <c r="K5" s="157">
        <f>O5*'Inputs-Buy Beef'!$G$35</f>
        <v>3990.264890561448</v>
      </c>
      <c r="L5" s="45">
        <f>('Pro Forma Income-Meatballs'!$B$38/'Inputs-Separate'!$G$34)</f>
        <v>575.2636340494668</v>
      </c>
      <c r="M5" s="14">
        <f>('Pro Forma Income-Meatballs'!$C$38/'Inputs-Consolidated'!$G$34)</f>
        <v>561.5704025865592</v>
      </c>
      <c r="N5" s="154">
        <f>('Pro Forma Income-Meatballs'!$D$38/'Inputs-Buy Pork'!$G$33)</f>
        <v>545.4724001190949</v>
      </c>
      <c r="O5" s="157">
        <f>('Pro Forma Income-Meatballs'!$E$38/'Inputs-Buy Beef'!$G$33)</f>
        <v>399.0264890561448</v>
      </c>
      <c r="P5" s="47">
        <f>L5*'Inputs-Separate'!$G$35</f>
        <v>3163.949987272067</v>
      </c>
      <c r="Q5" s="33">
        <f>M5*'Inputs-Consolidated'!$G$35</f>
        <v>3088.6372142260757</v>
      </c>
      <c r="R5" s="163">
        <f>N5*'Inputs-Buy Pork'!$G$34</f>
        <v>3000.098200655022</v>
      </c>
      <c r="S5" s="171">
        <f>O5*'Inputs-Buy Beef'!$G$34</f>
        <v>2194.6456898087963</v>
      </c>
    </row>
    <row r="6" spans="1:19" ht="15">
      <c r="A6" s="230"/>
      <c r="B6" s="13" t="s">
        <v>47</v>
      </c>
      <c r="C6" s="145">
        <v>500</v>
      </c>
      <c r="D6" s="150">
        <f>H6/'Inputs-Separate'!$G$2</f>
        <v>1.6496955369013948</v>
      </c>
      <c r="E6" s="148">
        <f>I6/'Inputs-Consolidated'!$G$2</f>
        <v>1.6104271710721483</v>
      </c>
      <c r="F6" s="149">
        <f>J6/'Inputs-Buy Pork'!$G$2</f>
        <v>1.564262593213017</v>
      </c>
      <c r="G6" s="152">
        <f>K6/'Inputs-Buy Beef'!$G$2</f>
        <v>3.8143219858320405</v>
      </c>
      <c r="H6" s="45">
        <f>$L6*'Inputs-Separate'!$G$36</f>
        <v>7918.538577126696</v>
      </c>
      <c r="I6" s="14">
        <f>$M6*'Inputs-Consolidated'!$G$36</f>
        <v>7730.050421146312</v>
      </c>
      <c r="J6" s="154">
        <f>N6*'Inputs-Buy Pork'!$G$35</f>
        <v>7508.460447422482</v>
      </c>
      <c r="K6" s="157">
        <f>O6*'Inputs-Buy Beef'!$G$35</f>
        <v>5492.623659598138</v>
      </c>
      <c r="L6" s="45">
        <f>('Pro Forma Income-Meatballs'!$B$38+Breakeven!C6)/'Inputs-Separate'!$G$34</f>
        <v>791.8538577126695</v>
      </c>
      <c r="M6" s="14">
        <f>('Pro Forma Income-Meatballs'!$C$38+Breakeven!C6)/'Inputs-Consolidated'!$G$34</f>
        <v>773.0050421146312</v>
      </c>
      <c r="N6" s="154">
        <f>('Pro Forma Income-Meatballs'!$D$38+Breakeven!C6)/'Inputs-Buy Pork'!$G$33</f>
        <v>750.8460447422482</v>
      </c>
      <c r="O6" s="157">
        <f>('Pro Forma Income-Meatballs'!$E$38+Breakeven!C6)/'Inputs-Buy Beef'!$G$33</f>
        <v>549.2623659598138</v>
      </c>
      <c r="P6" s="47">
        <f>L6*'Inputs-Separate'!$G$35</f>
        <v>4355.196217419682</v>
      </c>
      <c r="Q6" s="33">
        <f>M6*'Inputs-Consolidated'!$G$35</f>
        <v>4251.527731630472</v>
      </c>
      <c r="R6" s="163">
        <f>N6*'Inputs-Buy Pork'!$G$34</f>
        <v>4129.653246082365</v>
      </c>
      <c r="S6" s="171">
        <f>O6*'Inputs-Buy Beef'!$G$34</f>
        <v>3020.943012778976</v>
      </c>
    </row>
    <row r="7" spans="1:19" ht="15">
      <c r="A7" s="230"/>
      <c r="B7" s="6" t="s">
        <v>47</v>
      </c>
      <c r="C7" s="146">
        <v>750</v>
      </c>
      <c r="D7" s="150">
        <f>H7/'Inputs-Separate'!$G$2</f>
        <v>1.875310353217231</v>
      </c>
      <c r="E7" s="148">
        <f>I7/'Inputs-Consolidated'!$G$2</f>
        <v>1.8306715872472235</v>
      </c>
      <c r="F7" s="149">
        <f>J7/'Inputs-Buy Pork'!$G$2</f>
        <v>1.7781934730288014</v>
      </c>
      <c r="G7" s="152">
        <f>K7/'Inputs-Buy Beef'!$G$2</f>
        <v>4.335974336192002</v>
      </c>
      <c r="H7" s="45">
        <f>$L7*'Inputs-Separate'!$G$36</f>
        <v>9001.48969544271</v>
      </c>
      <c r="I7" s="14">
        <f>$M7*'Inputs-Consolidated'!$G$36</f>
        <v>8787.223618786673</v>
      </c>
      <c r="J7" s="154">
        <f>N7*'Inputs-Buy Pork'!$G$35</f>
        <v>8535.328670538247</v>
      </c>
      <c r="K7" s="157">
        <f>O7*'Inputs-Buy Beef'!$G$35</f>
        <v>6243.803044116483</v>
      </c>
      <c r="L7" s="45">
        <f>('Pro Forma Income-Meatballs'!$B$38+Breakeven!C7)/'Inputs-Separate'!$G$34</f>
        <v>900.1489695442709</v>
      </c>
      <c r="M7" s="14">
        <f>('Pro Forma Income-Meatballs'!$C$38+Breakeven!C7)/'Inputs-Consolidated'!$G$34</f>
        <v>878.7223618786672</v>
      </c>
      <c r="N7" s="154">
        <f>('Pro Forma Income-Meatballs'!$D$38+Breakeven!C7)/'Inputs-Buy Pork'!$G$33</f>
        <v>853.5328670538247</v>
      </c>
      <c r="O7" s="157">
        <f>('Pro Forma Income-Meatballs'!$E$38+Breakeven!C7)/'Inputs-Buy Beef'!$G$33</f>
        <v>624.3803044116482</v>
      </c>
      <c r="P7" s="47">
        <f>L7*'Inputs-Separate'!$G$35</f>
        <v>4950.81933249349</v>
      </c>
      <c r="Q7" s="33">
        <f>M7*'Inputs-Consolidated'!$G$35</f>
        <v>4832.97299033267</v>
      </c>
      <c r="R7" s="163">
        <f>N7*'Inputs-Buy Pork'!$G$34</f>
        <v>4694.430768796035</v>
      </c>
      <c r="S7" s="171">
        <f>O7*'Inputs-Buy Beef'!$G$34</f>
        <v>3434.091674264065</v>
      </c>
    </row>
    <row r="8" spans="1:19" ht="15">
      <c r="A8" s="230"/>
      <c r="B8" s="6" t="s">
        <v>47</v>
      </c>
      <c r="C8" s="146">
        <v>1000</v>
      </c>
      <c r="D8" s="150">
        <f>H8/'Inputs-Separate'!$G$2</f>
        <v>2.1009251695330673</v>
      </c>
      <c r="E8" s="148">
        <f>I8/'Inputs-Consolidated'!$G$2</f>
        <v>2.0509160034222984</v>
      </c>
      <c r="F8" s="149">
        <f>J8/'Inputs-Buy Pork'!$G$2</f>
        <v>1.9921243528445862</v>
      </c>
      <c r="G8" s="152">
        <f>K8/'Inputs-Buy Beef'!$G$2</f>
        <v>4.857626686551963</v>
      </c>
      <c r="H8" s="45">
        <f>$L8*'Inputs-Separate'!$G$36</f>
        <v>10084.440813758723</v>
      </c>
      <c r="I8" s="14">
        <f>$M8*'Inputs-Consolidated'!$G$36</f>
        <v>9844.396816427032</v>
      </c>
      <c r="J8" s="154">
        <f>N8*'Inputs-Buy Pork'!$G$35</f>
        <v>9562.196893654014</v>
      </c>
      <c r="K8" s="157">
        <f>O8*'Inputs-Buy Beef'!$G$35</f>
        <v>6994.982428634827</v>
      </c>
      <c r="L8" s="45">
        <f>('Pro Forma Income-Meatballs'!$B$38+Breakeven!C8)/'Inputs-Separate'!$G$34</f>
        <v>1008.4440813758724</v>
      </c>
      <c r="M8" s="14">
        <f>('Pro Forma Income-Meatballs'!$C$38+Breakeven!C8)/'Inputs-Consolidated'!$G$34</f>
        <v>984.4396816427032</v>
      </c>
      <c r="N8" s="154">
        <f>('Pro Forma Income-Meatballs'!$D$38+Breakeven!C8)/'Inputs-Buy Pork'!$G$33</f>
        <v>956.2196893654013</v>
      </c>
      <c r="O8" s="157">
        <f>('Pro Forma Income-Meatballs'!$E$38+Breakeven!C8)/'Inputs-Buy Beef'!$G$33</f>
        <v>699.4982428634827</v>
      </c>
      <c r="P8" s="47">
        <f>L8*'Inputs-Separate'!$G$35</f>
        <v>5546.442447567299</v>
      </c>
      <c r="Q8" s="33">
        <f>M8*'Inputs-Consolidated'!$G$35</f>
        <v>5414.418249034868</v>
      </c>
      <c r="R8" s="163">
        <f>N8*'Inputs-Buy Pork'!$G$34</f>
        <v>5259.208291509707</v>
      </c>
      <c r="S8" s="171">
        <f>O8*'Inputs-Buy Beef'!$G$34</f>
        <v>3847.240335749155</v>
      </c>
    </row>
    <row r="9" spans="1:19" ht="15">
      <c r="A9" s="230"/>
      <c r="B9" s="6" t="s">
        <v>47</v>
      </c>
      <c r="C9" s="146">
        <v>1250</v>
      </c>
      <c r="D9" s="150">
        <f>H9/'Inputs-Separate'!$G$2</f>
        <v>2.3265399858489038</v>
      </c>
      <c r="E9" s="148">
        <f>I9/'Inputs-Consolidated'!$G$2</f>
        <v>2.2711604195973734</v>
      </c>
      <c r="F9" s="149">
        <f>J9/'Inputs-Buy Pork'!$G$2</f>
        <v>2.2060552326603706</v>
      </c>
      <c r="G9" s="152">
        <f>K9/'Inputs-Buy Beef'!$G$2</f>
        <v>5.3792790369119245</v>
      </c>
      <c r="H9" s="45">
        <f>$L9*'Inputs-Separate'!$G$36</f>
        <v>11167.391932074737</v>
      </c>
      <c r="I9" s="14">
        <f>$M9*'Inputs-Consolidated'!$G$36</f>
        <v>10901.570014067393</v>
      </c>
      <c r="J9" s="154">
        <f>N9*'Inputs-Buy Pork'!$G$35</f>
        <v>10589.06511676978</v>
      </c>
      <c r="K9" s="157">
        <f>O9*'Inputs-Buy Beef'!$G$35</f>
        <v>7746.161813153171</v>
      </c>
      <c r="L9" s="45">
        <f>('Pro Forma Income-Meatballs'!$B$38+Breakeven!C9)/'Inputs-Separate'!$G$34</f>
        <v>1116.7391932074738</v>
      </c>
      <c r="M9" s="14">
        <f>('Pro Forma Income-Meatballs'!$C$38+Breakeven!C9)/'Inputs-Consolidated'!$G$34</f>
        <v>1090.1570014067393</v>
      </c>
      <c r="N9" s="154">
        <f>('Pro Forma Income-Meatballs'!$D$38+Breakeven!C9)/'Inputs-Buy Pork'!$G$33</f>
        <v>1058.906511676978</v>
      </c>
      <c r="O9" s="157">
        <f>('Pro Forma Income-Meatballs'!$E$38+Breakeven!C9)/'Inputs-Buy Beef'!$G$33</f>
        <v>774.6161813153171</v>
      </c>
      <c r="P9" s="47">
        <f>L9*'Inputs-Separate'!$G$35</f>
        <v>6142.065562641106</v>
      </c>
      <c r="Q9" s="33">
        <f>M9*'Inputs-Consolidated'!$G$35</f>
        <v>5995.863507737065</v>
      </c>
      <c r="R9" s="163">
        <f>N9*'Inputs-Buy Pork'!$G$34</f>
        <v>5823.985814223379</v>
      </c>
      <c r="S9" s="171">
        <f>O9*'Inputs-Buy Beef'!$G$34</f>
        <v>4260.388997234244</v>
      </c>
    </row>
    <row r="10" spans="1:19" ht="15">
      <c r="A10" s="230"/>
      <c r="B10" s="6" t="s">
        <v>47</v>
      </c>
      <c r="C10" s="146">
        <v>1500</v>
      </c>
      <c r="D10" s="150">
        <f>H10/'Inputs-Separate'!$G$2</f>
        <v>2.5521548021647398</v>
      </c>
      <c r="E10" s="148">
        <f>I10/'Inputs-Consolidated'!$G$2</f>
        <v>2.4914048357724483</v>
      </c>
      <c r="F10" s="149">
        <f>J10/'Inputs-Buy Pork'!$G$2</f>
        <v>2.4199861124761552</v>
      </c>
      <c r="G10" s="152">
        <f>K10/'Inputs-Buy Beef'!$G$2</f>
        <v>5.900931387271887</v>
      </c>
      <c r="H10" s="45">
        <f>$L10*'Inputs-Separate'!$G$36</f>
        <v>12250.343050390751</v>
      </c>
      <c r="I10" s="14">
        <f>$M10*'Inputs-Consolidated'!$G$36</f>
        <v>11958.743211707751</v>
      </c>
      <c r="J10" s="154">
        <f>N10*'Inputs-Buy Pork'!$G$35</f>
        <v>11615.933339885545</v>
      </c>
      <c r="K10" s="157">
        <f>O10*'Inputs-Buy Beef'!$G$35</f>
        <v>8497.341197671518</v>
      </c>
      <c r="L10" s="45">
        <f>('Pro Forma Income-Meatballs'!$B$38+Breakeven!C10)/'Inputs-Separate'!$G$34</f>
        <v>1225.0343050390752</v>
      </c>
      <c r="M10" s="14">
        <f>('Pro Forma Income-Meatballs'!$C$38+Breakeven!C10)/'Inputs-Consolidated'!$G$34</f>
        <v>1195.8743211707751</v>
      </c>
      <c r="N10" s="154">
        <f>('Pro Forma Income-Meatballs'!$D$38+Breakeven!C10)/'Inputs-Buy Pork'!$G$33</f>
        <v>1161.5933339885546</v>
      </c>
      <c r="O10" s="157">
        <f>('Pro Forma Income-Meatballs'!$E$38+Breakeven!C10)/'Inputs-Buy Beef'!$G$33</f>
        <v>849.7341197671517</v>
      </c>
      <c r="P10" s="47">
        <f>L10*'Inputs-Separate'!$G$35</f>
        <v>6737.688677714914</v>
      </c>
      <c r="Q10" s="33">
        <f>M10*'Inputs-Consolidated'!$G$35</f>
        <v>6577.308766439263</v>
      </c>
      <c r="R10" s="163">
        <f>N10*'Inputs-Buy Pork'!$G$34</f>
        <v>6388.763336937051</v>
      </c>
      <c r="S10" s="171">
        <f>O10*'Inputs-Buy Beef'!$G$34</f>
        <v>4673.537658719334</v>
      </c>
    </row>
    <row r="11" spans="1:19" ht="15">
      <c r="A11" s="230"/>
      <c r="B11" s="6" t="s">
        <v>47</v>
      </c>
      <c r="C11" s="146">
        <v>1750</v>
      </c>
      <c r="D11" s="150">
        <f>H11/'Inputs-Separate'!$G$2</f>
        <v>2.7777696184805762</v>
      </c>
      <c r="E11" s="148">
        <f>I11/'Inputs-Consolidated'!$G$2</f>
        <v>2.7116492519475233</v>
      </c>
      <c r="F11" s="149">
        <f>J11/'Inputs-Buy Pork'!$G$2</f>
        <v>2.63391699229194</v>
      </c>
      <c r="G11" s="152">
        <f>K11/'Inputs-Buy Beef'!$G$2</f>
        <v>6.422583737631848</v>
      </c>
      <c r="H11" s="45">
        <f>$L11*'Inputs-Separate'!$G$36</f>
        <v>13333.294168706765</v>
      </c>
      <c r="I11" s="14">
        <f>$M11*'Inputs-Consolidated'!$G$36</f>
        <v>13015.916409348112</v>
      </c>
      <c r="J11" s="154">
        <f>N11*'Inputs-Buy Pork'!$G$35</f>
        <v>12642.801563001312</v>
      </c>
      <c r="K11" s="157">
        <f>O11*'Inputs-Buy Beef'!$G$35</f>
        <v>9248.520582189862</v>
      </c>
      <c r="L11" s="45">
        <f>('Pro Forma Income-Meatballs'!$B$38+Breakeven!C11)/'Inputs-Separate'!$G$34</f>
        <v>1333.3294168706766</v>
      </c>
      <c r="M11" s="14">
        <f>('Pro Forma Income-Meatballs'!$C$38+Breakeven!C11)/'Inputs-Consolidated'!$G$34</f>
        <v>1301.5916409348113</v>
      </c>
      <c r="N11" s="154">
        <f>('Pro Forma Income-Meatballs'!$D$38+Breakeven!C11)/'Inputs-Buy Pork'!$G$33</f>
        <v>1264.2801563001312</v>
      </c>
      <c r="O11" s="157">
        <f>('Pro Forma Income-Meatballs'!$E$38+Breakeven!C11)/'Inputs-Buy Beef'!$G$33</f>
        <v>924.8520582189861</v>
      </c>
      <c r="P11" s="47">
        <f>L11*'Inputs-Separate'!$G$35</f>
        <v>7333.3117927887215</v>
      </c>
      <c r="Q11" s="33">
        <f>M11*'Inputs-Consolidated'!$G$35</f>
        <v>7158.754025141462</v>
      </c>
      <c r="R11" s="163">
        <f>N11*'Inputs-Buy Pork'!$G$34</f>
        <v>6953.540859650722</v>
      </c>
      <c r="S11" s="171">
        <f>O11*'Inputs-Buy Beef'!$G$34</f>
        <v>5086.686320204424</v>
      </c>
    </row>
    <row r="12" spans="1:19" ht="15">
      <c r="A12" s="230"/>
      <c r="B12" s="6" t="s">
        <v>47</v>
      </c>
      <c r="C12" s="146">
        <v>2000</v>
      </c>
      <c r="D12" s="150">
        <f>H12/'Inputs-Separate'!$G$2</f>
        <v>3.0033844347964123</v>
      </c>
      <c r="E12" s="148">
        <f>I12/'Inputs-Consolidated'!$G$2</f>
        <v>2.931893668122598</v>
      </c>
      <c r="F12" s="149">
        <f>J12/'Inputs-Buy Pork'!$G$2</f>
        <v>2.847847872107724</v>
      </c>
      <c r="G12" s="152">
        <f>K12/'Inputs-Buy Beef'!$G$2</f>
        <v>6.9442360879918095</v>
      </c>
      <c r="H12" s="45">
        <f>$L12*'Inputs-Separate'!$G$36</f>
        <v>14416.245287022779</v>
      </c>
      <c r="I12" s="14">
        <f>$M12*'Inputs-Consolidated'!$G$36</f>
        <v>14073.089606988471</v>
      </c>
      <c r="J12" s="154">
        <f>N12*'Inputs-Buy Pork'!$G$35</f>
        <v>13669.669786117076</v>
      </c>
      <c r="K12" s="157">
        <f>O12*'Inputs-Buy Beef'!$G$35</f>
        <v>9999.699966708205</v>
      </c>
      <c r="L12" s="45">
        <f>('Pro Forma Income-Meatballs'!$B$38+Breakeven!C12)/'Inputs-Separate'!$G$34</f>
        <v>1441.624528702278</v>
      </c>
      <c r="M12" s="14">
        <f>('Pro Forma Income-Meatballs'!$C$38+Breakeven!C12)/'Inputs-Consolidated'!$G$34</f>
        <v>1407.3089606988472</v>
      </c>
      <c r="N12" s="154">
        <f>('Pro Forma Income-Meatballs'!$D$38+Breakeven!C12)/'Inputs-Buy Pork'!$G$33</f>
        <v>1366.9669786117076</v>
      </c>
      <c r="O12" s="157">
        <f>('Pro Forma Income-Meatballs'!$E$38+Breakeven!C12)/'Inputs-Buy Beef'!$G$33</f>
        <v>999.9699966708206</v>
      </c>
      <c r="P12" s="47">
        <f>L12*'Inputs-Separate'!$G$35</f>
        <v>7928.934907862529</v>
      </c>
      <c r="Q12" s="33">
        <f>M12*'Inputs-Consolidated'!$G$35</f>
        <v>7740.199283843659</v>
      </c>
      <c r="R12" s="163">
        <f>N12*'Inputs-Buy Pork'!$G$34</f>
        <v>7518.318382364392</v>
      </c>
      <c r="S12" s="171">
        <f>O12*'Inputs-Buy Beef'!$G$34</f>
        <v>5499.834981689513</v>
      </c>
    </row>
    <row r="13" spans="1:19" ht="15">
      <c r="A13" s="230"/>
      <c r="B13" s="6" t="s">
        <v>47</v>
      </c>
      <c r="C13" s="146">
        <v>2250</v>
      </c>
      <c r="D13" s="150">
        <f>H13/'Inputs-Separate'!$G$2</f>
        <v>3.2289992511122487</v>
      </c>
      <c r="E13" s="148">
        <f>I13/'Inputs-Consolidated'!$G$2</f>
        <v>3.1521380842976736</v>
      </c>
      <c r="F13" s="149">
        <f>J13/'Inputs-Buy Pork'!$G$2</f>
        <v>3.061778751923509</v>
      </c>
      <c r="G13" s="152">
        <f>K13/'Inputs-Buy Beef'!$G$2</f>
        <v>7.465888438351771</v>
      </c>
      <c r="H13" s="45">
        <f>$L13*'Inputs-Separate'!$G$36</f>
        <v>15499.196405338793</v>
      </c>
      <c r="I13" s="14">
        <f>$M13*'Inputs-Consolidated'!$G$36</f>
        <v>15130.262804628834</v>
      </c>
      <c r="J13" s="154">
        <f>N13*'Inputs-Buy Pork'!$G$35</f>
        <v>14696.538009232843</v>
      </c>
      <c r="K13" s="157">
        <f>O13*'Inputs-Buy Beef'!$G$35</f>
        <v>10750.879351226551</v>
      </c>
      <c r="L13" s="45">
        <f>('Pro Forma Income-Meatballs'!$B$38+Breakeven!C13)/'Inputs-Separate'!$G$34</f>
        <v>1549.9196405338794</v>
      </c>
      <c r="M13" s="14">
        <f>('Pro Forma Income-Meatballs'!$C$38+Breakeven!C13)/'Inputs-Consolidated'!$G$34</f>
        <v>1513.0262804628833</v>
      </c>
      <c r="N13" s="154">
        <f>('Pro Forma Income-Meatballs'!$D$38+Breakeven!C13)/'Inputs-Buy Pork'!$G$33</f>
        <v>1469.6538009232843</v>
      </c>
      <c r="O13" s="157">
        <f>('Pro Forma Income-Meatballs'!$E$38+Breakeven!C13)/'Inputs-Buy Beef'!$G$33</f>
        <v>1075.0879351226552</v>
      </c>
      <c r="P13" s="47">
        <f>L13*'Inputs-Separate'!$G$35</f>
        <v>8524.558022936337</v>
      </c>
      <c r="Q13" s="33">
        <f>M13*'Inputs-Consolidated'!$G$35</f>
        <v>8321.644542545859</v>
      </c>
      <c r="R13" s="163">
        <f>N13*'Inputs-Buy Pork'!$G$34</f>
        <v>8083.095905078064</v>
      </c>
      <c r="S13" s="171">
        <f>O13*'Inputs-Buy Beef'!$G$34</f>
        <v>5912.9836431746035</v>
      </c>
    </row>
    <row r="14" spans="1:19" ht="15">
      <c r="A14" s="230"/>
      <c r="B14" s="6" t="s">
        <v>47</v>
      </c>
      <c r="C14" s="146">
        <v>2500</v>
      </c>
      <c r="D14" s="150">
        <f>H14/'Inputs-Separate'!$G$2</f>
        <v>3.4546140674280856</v>
      </c>
      <c r="E14" s="148">
        <f>I14/'Inputs-Consolidated'!$G$2</f>
        <v>3.372382500472748</v>
      </c>
      <c r="F14" s="149">
        <f>J14/'Inputs-Buy Pork'!$G$2</f>
        <v>3.2757096317392933</v>
      </c>
      <c r="G14" s="152">
        <f>K14/'Inputs-Buy Beef'!$G$2</f>
        <v>7.987540788711734</v>
      </c>
      <c r="H14" s="45">
        <f>$L14*'Inputs-Separate'!$G$36</f>
        <v>16582.14752365481</v>
      </c>
      <c r="I14" s="14">
        <f>$M14*'Inputs-Consolidated'!$G$36</f>
        <v>16187.43600226919</v>
      </c>
      <c r="J14" s="154">
        <f>N14*'Inputs-Buy Pork'!$G$35</f>
        <v>15723.406232348609</v>
      </c>
      <c r="K14" s="157">
        <f>O14*'Inputs-Buy Beef'!$G$35</f>
        <v>11502.058735744897</v>
      </c>
      <c r="L14" s="45">
        <f>('Pro Forma Income-Meatballs'!$B$38+Breakeven!C14)/'Inputs-Separate'!$G$34</f>
        <v>1658.214752365481</v>
      </c>
      <c r="M14" s="14">
        <f>('Pro Forma Income-Meatballs'!$C$38+Breakeven!C14)/'Inputs-Consolidated'!$G$34</f>
        <v>1618.7436002269192</v>
      </c>
      <c r="N14" s="154">
        <f>('Pro Forma Income-Meatballs'!$D$38+Breakeven!C14)/'Inputs-Buy Pork'!$G$33</f>
        <v>1572.340623234861</v>
      </c>
      <c r="O14" s="157">
        <f>('Pro Forma Income-Meatballs'!$E$38+Breakeven!C14)/'Inputs-Buy Beef'!$G$33</f>
        <v>1150.2058735744897</v>
      </c>
      <c r="P14" s="47">
        <f>L14*'Inputs-Separate'!$G$35</f>
        <v>9120.181138010146</v>
      </c>
      <c r="Q14" s="33">
        <f>M14*'Inputs-Consolidated'!$G$35</f>
        <v>8903.089801248056</v>
      </c>
      <c r="R14" s="163">
        <f>N14*'Inputs-Buy Pork'!$G$34</f>
        <v>8647.873427791736</v>
      </c>
      <c r="S14" s="171">
        <f>O14*'Inputs-Buy Beef'!$G$34</f>
        <v>6326.132304659694</v>
      </c>
    </row>
    <row r="15" spans="1:19" ht="15" thickBot="1">
      <c r="A15" s="231"/>
      <c r="B15" s="60" t="s">
        <v>47</v>
      </c>
      <c r="C15" s="147">
        <v>2750</v>
      </c>
      <c r="D15" s="44">
        <f>H15/'Inputs-Separate'!$G$2</f>
        <v>3.6802288837439217</v>
      </c>
      <c r="E15" s="38">
        <f>I15/'Inputs-Consolidated'!$G$2</f>
        <v>3.592626916647823</v>
      </c>
      <c r="F15" s="151">
        <f>J15/'Inputs-Buy Pork'!$G$2</f>
        <v>3.4896405115550784</v>
      </c>
      <c r="G15" s="153">
        <f>K15/'Inputs-Buy Beef'!$G$2</f>
        <v>8.509193139071694</v>
      </c>
      <c r="H15" s="46">
        <f>$L15*'Inputs-Separate'!$G$36</f>
        <v>17665.098641970824</v>
      </c>
      <c r="I15" s="39">
        <f>$M15*'Inputs-Consolidated'!$G$36</f>
        <v>17244.60919990955</v>
      </c>
      <c r="J15" s="155">
        <f>N15*'Inputs-Buy Pork'!$G$35</f>
        <v>16750.274455464376</v>
      </c>
      <c r="K15" s="158">
        <f>O15*'Inputs-Buy Beef'!$G$35</f>
        <v>12253.23812026324</v>
      </c>
      <c r="L15" s="46">
        <f>('Pro Forma Income-Meatballs'!$B$38+Breakeven!C15)/'Inputs-Separate'!$G$34</f>
        <v>1766.5098641970824</v>
      </c>
      <c r="M15" s="39">
        <f>('Pro Forma Income-Meatballs'!$C$38+Breakeven!C15)/'Inputs-Consolidated'!$G$34</f>
        <v>1724.4609199909553</v>
      </c>
      <c r="N15" s="155">
        <f>('Pro Forma Income-Meatballs'!$D$38+Breakeven!C15)/'Inputs-Buy Pork'!$G$33</f>
        <v>1675.0274455464375</v>
      </c>
      <c r="O15" s="156">
        <f>('Pro Forma Income-Meatballs'!$E$38+Breakeven!C15)/'Inputs-Buy Beef'!$G$33</f>
        <v>1225.323812026324</v>
      </c>
      <c r="P15" s="48">
        <f>L15*'Inputs-Separate'!$G$35</f>
        <v>9715.804253083954</v>
      </c>
      <c r="Q15" s="40">
        <f>M15*'Inputs-Consolidated'!$G$35</f>
        <v>9484.535059950254</v>
      </c>
      <c r="R15" s="164">
        <f>N15*'Inputs-Buy Pork'!$G$34</f>
        <v>9212.650950505407</v>
      </c>
      <c r="S15" s="172">
        <f>O15*'Inputs-Buy Beef'!$G$34</f>
        <v>6739.280966144783</v>
      </c>
    </row>
    <row r="16" spans="8:11" ht="15">
      <c r="H16" s="12"/>
      <c r="I16" s="12"/>
      <c r="J16" s="12"/>
      <c r="K16" s="12"/>
    </row>
  </sheetData>
  <mergeCells count="7">
    <mergeCell ref="A1:S1"/>
    <mergeCell ref="A5:A15"/>
    <mergeCell ref="B5:C5"/>
    <mergeCell ref="P3:R3"/>
    <mergeCell ref="D3:G3"/>
    <mergeCell ref="H3:K3"/>
    <mergeCell ref="L3:O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Caterpillar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Lindsay Schilleman</dc:creator>
  <cp:keywords/>
  <dc:description/>
  <cp:lastModifiedBy>JJ Richardson</cp:lastModifiedBy>
  <dcterms:created xsi:type="dcterms:W3CDTF">2016-10-05T14:15:00Z</dcterms:created>
  <dcterms:modified xsi:type="dcterms:W3CDTF">2017-01-11T22:33:13Z</dcterms:modified>
  <cp:category/>
  <cp:version/>
  <cp:contentType/>
  <cp:contentStatus/>
</cp:coreProperties>
</file>